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Záloha_Kingsdom_20230606\Bowling\2025-26\"/>
    </mc:Choice>
  </mc:AlternateContent>
  <xr:revisionPtr revIDLastSave="0" documentId="8_{78B006D0-18CE-47B4-B784-68FE800602FA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Rozpis" sheetId="1" r:id="rId1"/>
    <sheet name="Tabulka" sheetId="2" r:id="rId2"/>
    <sheet name="Křížová_tabulka" sheetId="3" r:id="rId3"/>
    <sheet name="PlayOff" sheetId="5" r:id="rId4"/>
    <sheet name="Pravidla" sheetId="4" r:id="rId5"/>
  </sheets>
  <externalReferences>
    <externalReference r:id="rId6"/>
  </externalReferences>
  <definedNames>
    <definedName name="_xlnm._FilterDatabase" localSheetId="0" hidden="1">Rozpis!$A$1:$H$126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2" l="1"/>
  <c r="H27" i="2"/>
  <c r="N27" i="2" s="1"/>
  <c r="H28" i="2"/>
  <c r="N28" i="2" s="1"/>
  <c r="J28" i="2"/>
  <c r="H29" i="2"/>
  <c r="J29" i="2"/>
  <c r="J23" i="2"/>
  <c r="H23" i="2"/>
  <c r="J24" i="2"/>
  <c r="H24" i="2"/>
  <c r="N24" i="2" s="1"/>
  <c r="J22" i="2"/>
  <c r="H22" i="2"/>
  <c r="I124" i="1"/>
  <c r="K118" i="1"/>
  <c r="I118" i="1"/>
  <c r="K120" i="1"/>
  <c r="I120" i="1"/>
  <c r="K113" i="1"/>
  <c r="I113" i="1"/>
  <c r="I114" i="1"/>
  <c r="K114" i="1"/>
  <c r="I115" i="1"/>
  <c r="K115" i="1"/>
  <c r="K116" i="1"/>
  <c r="I116" i="1"/>
  <c r="N29" i="2" l="1"/>
  <c r="N22" i="2"/>
  <c r="N23" i="2"/>
  <c r="I111" i="1"/>
  <c r="K108" i="1"/>
  <c r="I102" i="1"/>
  <c r="K103" i="1"/>
  <c r="I103" i="1"/>
  <c r="K104" i="1"/>
  <c r="K68" i="1"/>
  <c r="I68" i="1"/>
  <c r="I105" i="1"/>
  <c r="K105" i="1"/>
  <c r="K106" i="1"/>
  <c r="K94" i="1"/>
  <c r="K95" i="1"/>
  <c r="I95" i="1"/>
  <c r="I97" i="1"/>
  <c r="K88" i="1"/>
  <c r="I88" i="1"/>
  <c r="I92" i="1"/>
  <c r="K82" i="1"/>
  <c r="K85" i="1"/>
  <c r="I86" i="1"/>
  <c r="K81" i="1"/>
  <c r="I81" i="1"/>
  <c r="K75" i="1"/>
  <c r="I75" i="1"/>
  <c r="K74" i="1"/>
  <c r="I74" i="1"/>
  <c r="I66" i="1"/>
  <c r="K66" i="1"/>
  <c r="I71" i="1"/>
  <c r="K54" i="1"/>
  <c r="I54" i="1"/>
  <c r="I52" i="1"/>
  <c r="K56" i="1"/>
  <c r="K57" i="1"/>
  <c r="I57" i="1"/>
  <c r="K59" i="1"/>
  <c r="K60" i="1"/>
  <c r="I60" i="1"/>
  <c r="K61" i="1"/>
  <c r="I61" i="1"/>
  <c r="I62" i="1"/>
  <c r="K63" i="1"/>
  <c r="K64" i="1"/>
  <c r="I65" i="1"/>
  <c r="I64" i="1"/>
  <c r="K65" i="1"/>
  <c r="K41" i="1" l="1"/>
  <c r="I41" i="1"/>
  <c r="K42" i="1"/>
  <c r="I42" i="1"/>
  <c r="K45" i="1"/>
  <c r="I45" i="1"/>
  <c r="K39" i="1"/>
  <c r="I39" i="1"/>
  <c r="K47" i="1"/>
  <c r="I47" i="1"/>
  <c r="K48" i="1"/>
  <c r="I48" i="1"/>
  <c r="I49" i="1"/>
  <c r="K50" i="1"/>
  <c r="I50" i="1"/>
  <c r="K40" i="1"/>
  <c r="I40" i="1"/>
  <c r="K36" i="1"/>
  <c r="I36" i="1"/>
  <c r="K33" i="1"/>
  <c r="K30" i="1"/>
  <c r="I33" i="1"/>
  <c r="K34" i="1"/>
  <c r="K25" i="1"/>
  <c r="I25" i="1"/>
  <c r="I27" i="1"/>
  <c r="I19" i="1"/>
  <c r="K21" i="1"/>
  <c r="K17" i="1"/>
  <c r="I17" i="1"/>
  <c r="A1" i="3"/>
  <c r="K11" i="1" l="1"/>
  <c r="I11" i="1"/>
  <c r="K6" i="1"/>
  <c r="K15" i="1"/>
  <c r="I15" i="1"/>
  <c r="K9" i="1"/>
  <c r="I9" i="1"/>
  <c r="I5" i="1"/>
  <c r="I6" i="1"/>
</calcChain>
</file>

<file path=xl/sharedStrings.xml><?xml version="1.0" encoding="utf-8"?>
<sst xmlns="http://schemas.openxmlformats.org/spreadsheetml/2006/main" count="1251" uniqueCount="416">
  <si>
    <t>Datum</t>
  </si>
  <si>
    <t>Den</t>
  </si>
  <si>
    <t>Čas</t>
  </si>
  <si>
    <t>ISO týden</t>
  </si>
  <si>
    <t>ISO rok</t>
  </si>
  <si>
    <t>Domácí</t>
  </si>
  <si>
    <t>Hosté</t>
  </si>
  <si>
    <t>Poznámka</t>
  </si>
  <si>
    <t>28.09.2025</t>
  </si>
  <si>
    <t>Neděle</t>
  </si>
  <si>
    <t>16:00</t>
  </si>
  <si>
    <t>Alkočuníci</t>
  </si>
  <si>
    <t>Draken</t>
  </si>
  <si>
    <t>18:00</t>
  </si>
  <si>
    <t>Candáti</t>
  </si>
  <si>
    <t>Micro</t>
  </si>
  <si>
    <t>20:00</t>
  </si>
  <si>
    <t>Volný termín</t>
  </si>
  <si>
    <t>29.09.2025</t>
  </si>
  <si>
    <t>Pondělí</t>
  </si>
  <si>
    <t>GOGO</t>
  </si>
  <si>
    <t>Hvožďany</t>
  </si>
  <si>
    <t>01.10.2025</t>
  </si>
  <si>
    <t>Středa</t>
  </si>
  <si>
    <t>Haffo</t>
  </si>
  <si>
    <t>Těsně vedle</t>
  </si>
  <si>
    <t>Krůty</t>
  </si>
  <si>
    <t>OLD B</t>
  </si>
  <si>
    <t>05.10.2025</t>
  </si>
  <si>
    <t>15:00</t>
  </si>
  <si>
    <t>PP Štola</t>
  </si>
  <si>
    <t>Zbytek Světa Muži</t>
  </si>
  <si>
    <t>19:00</t>
  </si>
  <si>
    <t>08.10.2025</t>
  </si>
  <si>
    <t>D.N.A</t>
  </si>
  <si>
    <t>Protivka</t>
  </si>
  <si>
    <t>12.10.2025</t>
  </si>
  <si>
    <t>13.10.2025</t>
  </si>
  <si>
    <t>15.10.2025</t>
  </si>
  <si>
    <t>19.10.2025</t>
  </si>
  <si>
    <t>20.10.2025</t>
  </si>
  <si>
    <t>22.10.2025</t>
  </si>
  <si>
    <t>26.10.2025</t>
  </si>
  <si>
    <t>27.10.2025</t>
  </si>
  <si>
    <t>Zbytek Světa Ženy</t>
  </si>
  <si>
    <t>29.10.2025</t>
  </si>
  <si>
    <t>02.11.2025</t>
  </si>
  <si>
    <t>03.11.2025</t>
  </si>
  <si>
    <t>05.11.2025</t>
  </si>
  <si>
    <t>09.11.2025</t>
  </si>
  <si>
    <t>10.11.2025</t>
  </si>
  <si>
    <t>12.11.2025</t>
  </si>
  <si>
    <t>16.11.2025</t>
  </si>
  <si>
    <t>17.11.2025</t>
  </si>
  <si>
    <t>19.11.2025</t>
  </si>
  <si>
    <t>23.11.2025</t>
  </si>
  <si>
    <t>24.11.2025</t>
  </si>
  <si>
    <t>26.11.2025</t>
  </si>
  <si>
    <t>30.11.2025</t>
  </si>
  <si>
    <t>01.12.2025</t>
  </si>
  <si>
    <t>03.12.2025</t>
  </si>
  <si>
    <t>07.12.2025</t>
  </si>
  <si>
    <t>08.12.2025</t>
  </si>
  <si>
    <t>10.12.2025</t>
  </si>
  <si>
    <t>14.12.2025</t>
  </si>
  <si>
    <t>11.01.2026</t>
  </si>
  <si>
    <t>12.01.2026</t>
  </si>
  <si>
    <t>14.01.2026</t>
  </si>
  <si>
    <t>18.01.2026</t>
  </si>
  <si>
    <t>19.01.2026</t>
  </si>
  <si>
    <t>21.01.2026</t>
  </si>
  <si>
    <t>25.01.2026</t>
  </si>
  <si>
    <t>26.01.2026</t>
  </si>
  <si>
    <t>28.01.2026</t>
  </si>
  <si>
    <t>01.02.2026</t>
  </si>
  <si>
    <t>02.02.2026</t>
  </si>
  <si>
    <t>04.02.2026</t>
  </si>
  <si>
    <t>08.02.2026</t>
  </si>
  <si>
    <t>09.02.2026</t>
  </si>
  <si>
    <t>11.02.2026</t>
  </si>
  <si>
    <t>15.02.2026</t>
  </si>
  <si>
    <t>16.02.2026</t>
  </si>
  <si>
    <t>18.02.2026</t>
  </si>
  <si>
    <t>22.02.2026</t>
  </si>
  <si>
    <t>23.02.2026</t>
  </si>
  <si>
    <t>25.02.2026</t>
  </si>
  <si>
    <t>01.03.2026</t>
  </si>
  <si>
    <t>02.03.2026</t>
  </si>
  <si>
    <t>04.03.2026</t>
  </si>
  <si>
    <t>08.03.2026</t>
  </si>
  <si>
    <t>09.03.2026</t>
  </si>
  <si>
    <t>11.03.2026</t>
  </si>
  <si>
    <t>15.03.2026</t>
  </si>
  <si>
    <t>16.03.2026</t>
  </si>
  <si>
    <t>Odloženo</t>
  </si>
  <si>
    <t>Skóre</t>
  </si>
  <si>
    <t>:</t>
  </si>
  <si>
    <t>Pořadí</t>
  </si>
  <si>
    <t>Tým</t>
  </si>
  <si>
    <t>Zápasy</t>
  </si>
  <si>
    <t>Výhry</t>
  </si>
  <si>
    <t>Remízy</t>
  </si>
  <si>
    <t>Prohry</t>
  </si>
  <si>
    <t>Body</t>
  </si>
  <si>
    <t>Body pravdy</t>
  </si>
  <si>
    <t xml:space="preserve"> Krůty</t>
  </si>
  <si>
    <t>1745:1696</t>
  </si>
  <si>
    <t>1718:1491</t>
  </si>
  <si>
    <t>1819:1737</t>
  </si>
  <si>
    <t>1878:1836</t>
  </si>
  <si>
    <t>2002:1638</t>
  </si>
  <si>
    <t>1896:1874</t>
  </si>
  <si>
    <t>1898:1632</t>
  </si>
  <si>
    <t>1874:1896</t>
  </si>
  <si>
    <t>1878:1524</t>
  </si>
  <si>
    <t>1696:1745</t>
  </si>
  <si>
    <t>1607:1576</t>
  </si>
  <si>
    <t>1900:1755</t>
  </si>
  <si>
    <t>1816:1635</t>
  </si>
  <si>
    <t>1632:1898</t>
  </si>
  <si>
    <t>1635:1816</t>
  </si>
  <si>
    <t>1491:1718</t>
  </si>
  <si>
    <t>1524:1878</t>
  </si>
  <si>
    <t>1836:1878</t>
  </si>
  <si>
    <t>1755:1900</t>
  </si>
  <si>
    <t>1737:1819</t>
  </si>
  <si>
    <t>1638:2002</t>
  </si>
  <si>
    <t>1576:1607</t>
  </si>
  <si>
    <t>Hrají se ve 3 hráčích 4 kola. Min.3 a max.6 hráčů na zápas.</t>
  </si>
  <si>
    <t>Každý tým má 3 hráče základní sestavy a může mít max.3 náhradníky. Všichni hráči budou nahlášeni dříve než začnou hrát. Nejlépe přes whatsapp.</t>
  </si>
  <si>
    <t>V rozehraném kole se nesmí střídat.</t>
  </si>
  <si>
    <t>Hrací dny jsou převážně neděle, pondělí a středy v časech dle rozpisu.</t>
  </si>
  <si>
    <t xml:space="preserve">Termíny budou rozlosovány dopředu a budou se měnit pouze po dohodě obou týmy. Nový termín bude navržen po domluvě s obsluhou baru.  </t>
  </si>
  <si>
    <t>Hráč, který v sezóně nastoupí za jeden tým, nemůže už hrát v té samé sezóně za jiný tým. Pouze kdyby se jeho tým rozpadl, může doplnit jiný tým do max. počtu 6 hráčů.</t>
  </si>
  <si>
    <t>Zápisné - 500,-  - bude použito na nákup cen pro závěrečné vyhlášení. Bude uhrazeno do 1. zápasu u obsluhy baru.</t>
  </si>
  <si>
    <t>Hlavní komunikační kanál je whatsapp ve skupině BBL. Každý tým by měl mít ve skupině jednoho zástupce.</t>
  </si>
  <si>
    <t>Další informační kanál budou internetové stránky https://www.bowlingbechyne.cz/bowling/turnaje/</t>
  </si>
  <si>
    <t>Pravidla BBL 2025/26</t>
  </si>
  <si>
    <t>Tabulka BBL 2025-26</t>
  </si>
  <si>
    <t>Vždy po dohraném zápasu doplní kapitán týmu do výsledkové tabulky počet bodů za handicap.</t>
  </si>
  <si>
    <t xml:space="preserve">Handicap – 10b na ženu a kolo, v případě, že v kole nedosáhne 134 bodů. </t>
  </si>
  <si>
    <t>Vyhlášení v květnu 2026. Předpoklad - grilovačka.</t>
  </si>
  <si>
    <t>1868:1657</t>
  </si>
  <si>
    <t>1646:1968</t>
  </si>
  <si>
    <t>1968:1646</t>
  </si>
  <si>
    <t>1657:1868</t>
  </si>
  <si>
    <t xml:space="preserve">Handicap – 10b na hráče a kolo, v případě, že v kole nedosáhne 134 bodů a je mu méně než 15 let nebo 80 let a více. </t>
  </si>
  <si>
    <t>1725:1768</t>
  </si>
  <si>
    <t>1797:1553</t>
  </si>
  <si>
    <t>1768:1725</t>
  </si>
  <si>
    <t>1868:1549</t>
  </si>
  <si>
    <t>1549:1868</t>
  </si>
  <si>
    <t>1553:1797</t>
  </si>
  <si>
    <t>1931:1525</t>
  </si>
  <si>
    <t>1891:1726</t>
  </si>
  <si>
    <t>1862:1743</t>
  </si>
  <si>
    <t>1743:1862</t>
  </si>
  <si>
    <t>1525:1931</t>
  </si>
  <si>
    <t>1726:1891</t>
  </si>
  <si>
    <t>1609:1692</t>
  </si>
  <si>
    <t>1967:1356</t>
  </si>
  <si>
    <t>1692:1609</t>
  </si>
  <si>
    <t>1356:1967</t>
  </si>
  <si>
    <t>1723:1604</t>
  </si>
  <si>
    <t>1634:1622</t>
  </si>
  <si>
    <t>1831:1842</t>
  </si>
  <si>
    <t>1842:1831</t>
  </si>
  <si>
    <t>1875:1579</t>
  </si>
  <si>
    <t>1896:1749</t>
  </si>
  <si>
    <t>1749:1896</t>
  </si>
  <si>
    <t>1604:1723</t>
  </si>
  <si>
    <t>1579:1875</t>
  </si>
  <si>
    <t>1622:1634</t>
  </si>
  <si>
    <t>OLD Martina 206</t>
  </si>
  <si>
    <t>Odehráno 7.11.</t>
  </si>
  <si>
    <t>2067:1924</t>
  </si>
  <si>
    <t>1975:1899</t>
  </si>
  <si>
    <t>1924:2067</t>
  </si>
  <si>
    <t>1899:1975</t>
  </si>
  <si>
    <t>1844:1626</t>
  </si>
  <si>
    <t>1593:1513</t>
  </si>
  <si>
    <t>1513:1593</t>
  </si>
  <si>
    <t>1626:1844</t>
  </si>
  <si>
    <t>Přeloženo na 21.11.</t>
  </si>
  <si>
    <t>Přeloženo na 20.11.</t>
  </si>
  <si>
    <t>1952:1701</t>
  </si>
  <si>
    <t>1701:1952</t>
  </si>
  <si>
    <t>1793:1479</t>
  </si>
  <si>
    <t>1479:1793</t>
  </si>
  <si>
    <t>Čtvrtek</t>
  </si>
  <si>
    <t>Přeloženo na 17.11.</t>
  </si>
  <si>
    <t>2029:1797</t>
  </si>
  <si>
    <t>1836:1750</t>
  </si>
  <si>
    <t>1692:1680</t>
  </si>
  <si>
    <t>1533:1896</t>
  </si>
  <si>
    <t>1725:1655</t>
  </si>
  <si>
    <t>1896:1533</t>
  </si>
  <si>
    <t>1885:1878</t>
  </si>
  <si>
    <t>1875:1905</t>
  </si>
  <si>
    <t>1939:1617</t>
  </si>
  <si>
    <t>1750:1836</t>
  </si>
  <si>
    <t>1705:1599</t>
  </si>
  <si>
    <t>1905:1875</t>
  </si>
  <si>
    <t>1680:1692</t>
  </si>
  <si>
    <t>1711:1607</t>
  </si>
  <si>
    <t>1878:1885</t>
  </si>
  <si>
    <t>1717:1746</t>
  </si>
  <si>
    <t>1617:1939</t>
  </si>
  <si>
    <t>1746:1717</t>
  </si>
  <si>
    <t>1797:2029</t>
  </si>
  <si>
    <t>1607:1711</t>
  </si>
  <si>
    <t>1599:1705</t>
  </si>
  <si>
    <t>1655:1725</t>
  </si>
  <si>
    <t>1756:1724</t>
  </si>
  <si>
    <t>1724:1756</t>
  </si>
  <si>
    <t>Přeloženo z 6.10.</t>
  </si>
  <si>
    <t>1888:1665</t>
  </si>
  <si>
    <t>1822:1770</t>
  </si>
  <si>
    <t>1808:1887</t>
  </si>
  <si>
    <t>1806:1902</t>
  </si>
  <si>
    <t>1775:1388</t>
  </si>
  <si>
    <t>1815:1705</t>
  </si>
  <si>
    <t>1780:1675</t>
  </si>
  <si>
    <t>1887:1808</t>
  </si>
  <si>
    <t>1902:1806</t>
  </si>
  <si>
    <t>1721:1635</t>
  </si>
  <si>
    <t>1912:1590</t>
  </si>
  <si>
    <t>1899:1719</t>
  </si>
  <si>
    <t>1692:1367</t>
  </si>
  <si>
    <t>1635:1721</t>
  </si>
  <si>
    <t>1719:1899</t>
  </si>
  <si>
    <t>1770:1822</t>
  </si>
  <si>
    <t>1705:1815</t>
  </si>
  <si>
    <t>1675:1780</t>
  </si>
  <si>
    <t>1775:1703</t>
  </si>
  <si>
    <t>1712:1677</t>
  </si>
  <si>
    <t>1665:1888</t>
  </si>
  <si>
    <t>1677:1712</t>
  </si>
  <si>
    <t>1590:1912</t>
  </si>
  <si>
    <t>1367:1692</t>
  </si>
  <si>
    <t>1388:1775</t>
  </si>
  <si>
    <t>1703:1775</t>
  </si>
  <si>
    <t>Přeloženo na 5.2.20:00</t>
  </si>
  <si>
    <t>1782:1822</t>
  </si>
  <si>
    <t>1822:1782</t>
  </si>
  <si>
    <t>1718:1532</t>
  </si>
  <si>
    <t>1940:1827</t>
  </si>
  <si>
    <t>1654:1402</t>
  </si>
  <si>
    <t>1402:1654</t>
  </si>
  <si>
    <t>1744:1348</t>
  </si>
  <si>
    <t>1827:1940</t>
  </si>
  <si>
    <t>1348:1744</t>
  </si>
  <si>
    <t>1532:1718</t>
  </si>
  <si>
    <t>1834:1704</t>
  </si>
  <si>
    <t>1704:1834</t>
  </si>
  <si>
    <t>Odehráno 28.2.</t>
  </si>
  <si>
    <t>1961:1770</t>
  </si>
  <si>
    <t>1926:1600</t>
  </si>
  <si>
    <t>1770:1961</t>
  </si>
  <si>
    <t>1600:1926</t>
  </si>
  <si>
    <t>Prohozeny Ž za M</t>
  </si>
  <si>
    <t>1910:1810</t>
  </si>
  <si>
    <t>1811:1407</t>
  </si>
  <si>
    <t>1878:1719</t>
  </si>
  <si>
    <t>1789:1506</t>
  </si>
  <si>
    <t>1785:1619</t>
  </si>
  <si>
    <t>1810:1910</t>
  </si>
  <si>
    <t>1808:1559</t>
  </si>
  <si>
    <t>1619:1785</t>
  </si>
  <si>
    <t>1719:1878</t>
  </si>
  <si>
    <t>1559:1808</t>
  </si>
  <si>
    <t>1506:1789</t>
  </si>
  <si>
    <t>1407:1811</t>
  </si>
  <si>
    <t>Přeloženo</t>
  </si>
  <si>
    <t>Prohozeno s OLD B</t>
  </si>
  <si>
    <t>2007:1799</t>
  </si>
  <si>
    <t>1842:1756</t>
  </si>
  <si>
    <t>1799:2007</t>
  </si>
  <si>
    <t>1783:1522</t>
  </si>
  <si>
    <t>1722:1791</t>
  </si>
  <si>
    <t>1668:1597</t>
  </si>
  <si>
    <t>1756:1842</t>
  </si>
  <si>
    <t>1791:1722</t>
  </si>
  <si>
    <t>1522:1783</t>
  </si>
  <si>
    <t>1706:1531</t>
  </si>
  <si>
    <t>1531:1706</t>
  </si>
  <si>
    <t>1597:1668</t>
  </si>
  <si>
    <t>Odloženo na 22.3.2026 15:00</t>
  </si>
  <si>
    <t>1878:1655</t>
  </si>
  <si>
    <t>1818:1498</t>
  </si>
  <si>
    <t>1864:1730</t>
  </si>
  <si>
    <t>1730:1864</t>
  </si>
  <si>
    <t>1724:1686</t>
  </si>
  <si>
    <t>1828:1791</t>
  </si>
  <si>
    <t>1822:1519</t>
  </si>
  <si>
    <t>1686:1724</t>
  </si>
  <si>
    <t>1791:1828</t>
  </si>
  <si>
    <t>1498:1818</t>
  </si>
  <si>
    <t>1655:1878</t>
  </si>
  <si>
    <t>1519:1822</t>
  </si>
  <si>
    <t>1779:1810</t>
  </si>
  <si>
    <t>1832:1497</t>
  </si>
  <si>
    <t>1767:1704</t>
  </si>
  <si>
    <t>1671:1566</t>
  </si>
  <si>
    <t>1810:1779</t>
  </si>
  <si>
    <t>1800:1769</t>
  </si>
  <si>
    <t>1649:1311</t>
  </si>
  <si>
    <t>1704:1767</t>
  </si>
  <si>
    <t>1769:1800</t>
  </si>
  <si>
    <t>1797:1584</t>
  </si>
  <si>
    <t>1311:1649</t>
  </si>
  <si>
    <t>1566:1671</t>
  </si>
  <si>
    <t>1497:1832</t>
  </si>
  <si>
    <t>1584:1797</t>
  </si>
  <si>
    <t>1768:1653</t>
  </si>
  <si>
    <t>1653:1768</t>
  </si>
  <si>
    <t>04.03.2027</t>
  </si>
  <si>
    <t>Přeloženo z 18.3.</t>
  </si>
  <si>
    <t>Odloženo na 18.3.</t>
  </si>
  <si>
    <t>1505:1588</t>
  </si>
  <si>
    <t>1588:1505</t>
  </si>
  <si>
    <t>1352:1534</t>
  </si>
  <si>
    <t>1534:1352</t>
  </si>
  <si>
    <t>1838:1969</t>
  </si>
  <si>
    <t>1856:1842</t>
  </si>
  <si>
    <t>1806:1647</t>
  </si>
  <si>
    <t>1969:1838</t>
  </si>
  <si>
    <t>1842:1856</t>
  </si>
  <si>
    <t>1647:1806</t>
  </si>
  <si>
    <t>1486:1551</t>
  </si>
  <si>
    <t>1551:1486</t>
  </si>
  <si>
    <t>1502:1636</t>
  </si>
  <si>
    <t>1636:1502</t>
  </si>
  <si>
    <t>Přeloženo z 22.2. a z 22.3.</t>
  </si>
  <si>
    <t>Obsazeno</t>
  </si>
  <si>
    <t>Přeloženo z 15.3.</t>
  </si>
  <si>
    <t>1820:1874</t>
  </si>
  <si>
    <t>1829:1789</t>
  </si>
  <si>
    <t>1704:1680</t>
  </si>
  <si>
    <t>1874:1820</t>
  </si>
  <si>
    <t>1789:1829</t>
  </si>
  <si>
    <t>1680:1704</t>
  </si>
  <si>
    <t>1633:1611</t>
  </si>
  <si>
    <t>1611:1633</t>
  </si>
  <si>
    <t>číslo zápasu</t>
  </si>
  <si>
    <t>1. tým</t>
  </si>
  <si>
    <t>16. tým</t>
  </si>
  <si>
    <t>8. tým</t>
  </si>
  <si>
    <t>9. tým</t>
  </si>
  <si>
    <t>6. tým</t>
  </si>
  <si>
    <t>11. tým</t>
  </si>
  <si>
    <t>4. tým</t>
  </si>
  <si>
    <t>13. tým</t>
  </si>
  <si>
    <t>3. tým</t>
  </si>
  <si>
    <t>14. tým</t>
  </si>
  <si>
    <t>5. tým</t>
  </si>
  <si>
    <t>12. tým</t>
  </si>
  <si>
    <t>7. tým</t>
  </si>
  <si>
    <t>10. tým</t>
  </si>
  <si>
    <t>2. tým</t>
  </si>
  <si>
    <t>15. tým</t>
  </si>
  <si>
    <t>D.N.A.</t>
  </si>
  <si>
    <t>1848:1892</t>
  </si>
  <si>
    <t>1892:1848</t>
  </si>
  <si>
    <t>1705:1539</t>
  </si>
  <si>
    <t>1539:1705</t>
  </si>
  <si>
    <t>Minitabulka o 1. místo</t>
  </si>
  <si>
    <t>DNA</t>
  </si>
  <si>
    <t>Mikro</t>
  </si>
  <si>
    <t>Hvoždany</t>
  </si>
  <si>
    <t>Zbytek světa Ženy</t>
  </si>
  <si>
    <t>XXX</t>
  </si>
  <si>
    <t>ZS Ženy</t>
  </si>
  <si>
    <t>PO2</t>
  </si>
  <si>
    <t>PO3</t>
  </si>
  <si>
    <t>PO4</t>
  </si>
  <si>
    <t>PO5</t>
  </si>
  <si>
    <t>PO7</t>
  </si>
  <si>
    <t>PO6</t>
  </si>
  <si>
    <t>PO8</t>
  </si>
  <si>
    <t>PO9</t>
  </si>
  <si>
    <t>PO10</t>
  </si>
  <si>
    <t>PO11</t>
  </si>
  <si>
    <t>PO12</t>
  </si>
  <si>
    <t>PO13</t>
  </si>
  <si>
    <t>PO14</t>
  </si>
  <si>
    <t>o 3. místo</t>
  </si>
  <si>
    <t>Finále</t>
  </si>
  <si>
    <t>Minitabulka o 5. místo</t>
  </si>
  <si>
    <t>1749:1732</t>
  </si>
  <si>
    <t>1732:1749</t>
  </si>
  <si>
    <t>V této tabulce není srovnané pořadí!!!</t>
  </si>
  <si>
    <t>Zbytek světa Muži</t>
  </si>
  <si>
    <t>ZS Muži</t>
  </si>
  <si>
    <t xml:space="preserve">Po dohrání základní části budou všechny týmy hrát Play Off </t>
  </si>
  <si>
    <t>Bude se hrát klasický pavouk, kdy hrají proti sobě týmy podle umístění v základní části.</t>
  </si>
  <si>
    <t>Hraje: 1. tým proti 16. týmu, 2. tým proti 15. týmu atd až k 8. týmu proti 9. týmu.</t>
  </si>
  <si>
    <t>Termíny budou rozlosovány dopředu a budou se měnit pouze po dohodě obou týmů. Nový termín bude navržen po domluvě s obsluhou baru.  Je nutné nahlásit obsluze baru, že se termín mění/nekoná.</t>
  </si>
  <si>
    <t>Hraje se na 2 vítězné zápasy!</t>
  </si>
  <si>
    <t xml:space="preserve">Každý zápas se hraje na 2 kola. Lépe umístěný tým v konečné tabulce základní části si volí dráhu pro 1. zápas. </t>
  </si>
  <si>
    <t>Na 2. zápas se dráhy vymění.</t>
  </si>
  <si>
    <t>V případě remízy (každý z týmů vyhraje 1 zápas, bez ohledu na body) se bude hrát rozhodující zápas na 1 kolo.</t>
  </si>
  <si>
    <t xml:space="preserve">Lépe umístěný tým v konečné tabulce základní části si volí dráhu pro rozhodující zápas. </t>
  </si>
  <si>
    <t>Vítězný tým postupuje v pavouku dál. Prohrávající končí herně a zahajuje přípravu na vyhlášení. :-)</t>
  </si>
  <si>
    <t>Pravidla BBL 2025/26 - Play Off</t>
  </si>
  <si>
    <t>Pátek</t>
  </si>
  <si>
    <t>Haffo - D.N.A.</t>
  </si>
  <si>
    <t>OLD B - Protivka</t>
  </si>
  <si>
    <t>Základní část</t>
  </si>
  <si>
    <t>Po play.off</t>
  </si>
  <si>
    <t>Krůty-ZS Muži</t>
  </si>
  <si>
    <t>Hvožďany-GOGO</t>
  </si>
  <si>
    <t>Haffo - ZS Muži</t>
  </si>
  <si>
    <t>Hvožďany - Protivka</t>
  </si>
  <si>
    <t>Haffo - Hvožďany</t>
  </si>
  <si>
    <t>ZS Muži - Protivka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</si>
</sst>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6"/>
      <color rgb="FF2F5496"/>
      <name val="Calibri Light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1" fillId="0" borderId="0"/>
    <xf numFmtId="0" fontId="10" fillId="0" borderId="0"/>
    <xf numFmtId="0" fontId="17" fillId="0" borderId="0" applyNumberFormat="0" applyFill="0" applyBorder="0" applyAlignment="0" applyProtection="0"/>
    <xf numFmtId="0" fontId="8" fillId="0" borderId="0"/>
  </cellStyleXfs>
  <cellXfs count="58">
    <xf numFmtId="0" fontId="0" fillId="0" borderId="0" xfId="0"/>
    <xf numFmtId="0" fontId="12" fillId="0" borderId="1" xfId="0" applyFont="1" applyBorder="1" applyAlignment="1">
      <alignment horizontal="center" vertical="top"/>
    </xf>
    <xf numFmtId="0" fontId="0" fillId="2" borderId="0" xfId="0" applyFill="1"/>
    <xf numFmtId="0" fontId="0" fillId="0" borderId="0" xfId="0" applyAlignment="1">
      <alignment horizontal="center"/>
    </xf>
    <xf numFmtId="0" fontId="11" fillId="0" borderId="0" xfId="1"/>
    <xf numFmtId="0" fontId="15" fillId="3" borderId="1" xfId="1" applyFont="1" applyFill="1" applyBorder="1" applyAlignment="1">
      <alignment horizontal="center"/>
    </xf>
    <xf numFmtId="0" fontId="15" fillId="3" borderId="1" xfId="1" applyFont="1" applyFill="1" applyBorder="1"/>
    <xf numFmtId="0" fontId="11" fillId="0" borderId="1" xfId="1" applyBorder="1" applyAlignment="1">
      <alignment horizontal="center"/>
    </xf>
    <xf numFmtId="0" fontId="11" fillId="0" borderId="1" xfId="1" applyBorder="1"/>
    <xf numFmtId="0" fontId="0" fillId="4" borderId="1" xfId="0" applyFill="1" applyBorder="1" applyAlignment="1">
      <alignment horizontal="center" textRotation="90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49" fontId="0" fillId="5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6" borderId="0" xfId="0" applyFill="1" applyAlignment="1">
      <alignment horizontal="center"/>
    </xf>
    <xf numFmtId="0" fontId="16" fillId="0" borderId="0" xfId="2" applyFont="1" applyAlignment="1">
      <alignment horizontal="center" vertical="center"/>
    </xf>
    <xf numFmtId="0" fontId="10" fillId="0" borderId="0" xfId="2"/>
    <xf numFmtId="0" fontId="10" fillId="0" borderId="0" xfId="2" applyAlignment="1">
      <alignment horizontal="left" vertical="center" indent="5"/>
    </xf>
    <xf numFmtId="0" fontId="17" fillId="0" borderId="0" xfId="3" applyAlignment="1">
      <alignment horizontal="left" vertical="center" indent="5"/>
    </xf>
    <xf numFmtId="0" fontId="9" fillId="0" borderId="0" xfId="2" applyFont="1" applyAlignment="1">
      <alignment horizontal="left" vertical="center" indent="5"/>
    </xf>
    <xf numFmtId="0" fontId="0" fillId="6" borderId="0" xfId="0" applyFill="1"/>
    <xf numFmtId="0" fontId="0" fillId="7" borderId="0" xfId="0" applyFill="1" applyAlignment="1">
      <alignment horizontal="center"/>
    </xf>
    <xf numFmtId="14" fontId="0" fillId="2" borderId="0" xfId="0" applyNumberFormat="1" applyFill="1"/>
    <xf numFmtId="14" fontId="0" fillId="0" borderId="0" xfId="0" applyNumberFormat="1"/>
    <xf numFmtId="20" fontId="0" fillId="2" borderId="0" xfId="0" applyNumberFormat="1" applyFill="1"/>
    <xf numFmtId="20" fontId="0" fillId="0" borderId="0" xfId="0" applyNumberFormat="1"/>
    <xf numFmtId="0" fontId="11" fillId="2" borderId="1" xfId="1" applyFill="1" applyBorder="1" applyAlignment="1">
      <alignment horizontal="center"/>
    </xf>
    <xf numFmtId="0" fontId="11" fillId="2" borderId="1" xfId="1" applyFill="1" applyBorder="1"/>
    <xf numFmtId="0" fontId="8" fillId="0" borderId="0" xfId="4" applyAlignment="1">
      <alignment wrapText="1" shrinkToFit="1"/>
    </xf>
    <xf numFmtId="0" fontId="8" fillId="0" borderId="0" xfId="4"/>
    <xf numFmtId="0" fontId="8" fillId="0" borderId="0" xfId="4" applyAlignment="1">
      <alignment horizontal="center"/>
    </xf>
    <xf numFmtId="0" fontId="15" fillId="3" borderId="1" xfId="4" applyFont="1" applyFill="1" applyBorder="1" applyAlignment="1">
      <alignment horizontal="center"/>
    </xf>
    <xf numFmtId="0" fontId="15" fillId="3" borderId="1" xfId="4" applyFont="1" applyFill="1" applyBorder="1"/>
    <xf numFmtId="0" fontId="8" fillId="0" borderId="1" xfId="4" applyBorder="1" applyAlignment="1">
      <alignment horizontal="center"/>
    </xf>
    <xf numFmtId="0" fontId="8" fillId="0" borderId="1" xfId="4" applyBorder="1"/>
    <xf numFmtId="0" fontId="8" fillId="0" borderId="0" xfId="4" applyAlignment="1">
      <alignment horizontal="center" vertical="center"/>
    </xf>
    <xf numFmtId="0" fontId="7" fillId="0" borderId="0" xfId="1" applyFont="1"/>
    <xf numFmtId="0" fontId="6" fillId="0" borderId="0" xfId="4" applyFont="1"/>
    <xf numFmtId="0" fontId="5" fillId="0" borderId="0" xfId="1" applyFont="1"/>
    <xf numFmtId="0" fontId="19" fillId="4" borderId="0" xfId="0" applyFont="1" applyFill="1" applyBorder="1" applyAlignment="1">
      <alignment vertical="center"/>
    </xf>
    <xf numFmtId="0" fontId="4" fillId="0" borderId="1" xfId="4" applyFont="1" applyBorder="1"/>
    <xf numFmtId="0" fontId="4" fillId="0" borderId="0" xfId="4" applyFont="1"/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3" fillId="0" borderId="0" xfId="0" applyFont="1"/>
    <xf numFmtId="0" fontId="3" fillId="0" borderId="0" xfId="4" applyFont="1"/>
    <xf numFmtId="0" fontId="2" fillId="0" borderId="1" xfId="4" applyFont="1" applyBorder="1"/>
    <xf numFmtId="0" fontId="2" fillId="0" borderId="0" xfId="4" applyFont="1"/>
    <xf numFmtId="0" fontId="13" fillId="0" borderId="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3" borderId="1" xfId="1" applyFont="1" applyFill="1" applyBorder="1" applyAlignment="1">
      <alignment horizontal="center"/>
    </xf>
    <xf numFmtId="0" fontId="15" fillId="3" borderId="1" xfId="1" applyFont="1" applyFill="1" applyBorder="1" applyAlignment="1">
      <alignment horizontal="center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" fillId="0" borderId="5" xfId="4" applyFont="1" applyBorder="1" applyAlignment="1">
      <alignment horizontal="center"/>
    </xf>
    <xf numFmtId="0" fontId="8" fillId="0" borderId="5" xfId="4" applyBorder="1" applyAlignment="1">
      <alignment horizontal="center"/>
    </xf>
    <xf numFmtId="0" fontId="8" fillId="0" borderId="0" xfId="4" applyAlignment="1">
      <alignment horizontal="center" vertical="center"/>
    </xf>
    <xf numFmtId="0" fontId="1" fillId="0" borderId="0" xfId="4" applyFont="1"/>
  </cellXfs>
  <cellStyles count="5">
    <cellStyle name="Hypertextový odkaz 2" xfId="3" xr:uid="{2F3ED3B1-00CC-48B8-AD81-5B3B3D51C784}"/>
    <cellStyle name="Normální" xfId="0" builtinId="0"/>
    <cellStyle name="Normální 2" xfId="1" xr:uid="{46862AFA-86E1-456A-9701-9F9A5744A29F}"/>
    <cellStyle name="Normální 3" xfId="2" xr:uid="{2ED4A029-0FDC-4514-B371-F64586DDAE81}"/>
    <cellStyle name="Normální 4" xfId="4" xr:uid="{E16BDF58-7D2D-4853-AA43-02881164BE05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Z&#225;loha_Kingsdom_20230606\Bowling\2025-26\BBL_2025-26.xls" TargetMode="External"/><Relationship Id="rId1" Type="http://schemas.openxmlformats.org/officeDocument/2006/relationships/externalLinkPath" Target="BBL_2025-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astavení_1"/>
      <sheetName val="Vzor"/>
      <sheetName val="Nastavení_2"/>
      <sheetName val="Nastavení_3"/>
      <sheetName val="Nastavení_4"/>
      <sheetName val="Nastavení_5"/>
      <sheetName val="Seznam týmů"/>
      <sheetName val="Tab_1"/>
      <sheetName val="D-V_1"/>
      <sheetName val="Kříž_1"/>
      <sheetName val="Kříž.rozpis_1"/>
      <sheetName val="Tab_2"/>
      <sheetName val="D-V_2"/>
      <sheetName val="Kříž_2"/>
      <sheetName val="Kříž.rozpis_2"/>
      <sheetName val="Tab_3"/>
      <sheetName val="D-V_3"/>
      <sheetName val="Kříž_3"/>
      <sheetName val="Kříž.rozpis_3"/>
      <sheetName val="Tab_4"/>
      <sheetName val="D-V_4"/>
      <sheetName val="Kříž_4"/>
      <sheetName val="Kříž.rozpis_4"/>
      <sheetName val="Tab_5"/>
      <sheetName val="D-V_5"/>
      <sheetName val="Kříž_5"/>
      <sheetName val="Kříž.rozpis_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O1" t="str">
            <v>Turnaj 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bowlingbechyne.cz/bowling/turnaj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46"/>
  <sheetViews>
    <sheetView topLeftCell="A117" zoomScale="85" zoomScaleNormal="85" workbookViewId="0">
      <selection activeCell="I149" sqref="I149"/>
    </sheetView>
  </sheetViews>
  <sheetFormatPr defaultRowHeight="14.4" x14ac:dyDescent="0.3"/>
  <cols>
    <col min="1" max="1" width="10.109375" bestFit="1" customWidth="1"/>
    <col min="2" max="2" width="7.44140625" bestFit="1" customWidth="1"/>
    <col min="3" max="3" width="5.5546875" bestFit="1" customWidth="1"/>
    <col min="4" max="4" width="9.33203125" bestFit="1" customWidth="1"/>
    <col min="5" max="5" width="7.109375" bestFit="1" customWidth="1"/>
    <col min="6" max="6" width="16.77734375" bestFit="1" customWidth="1"/>
    <col min="7" max="7" width="20.6640625" customWidth="1"/>
    <col min="8" max="8" width="9.77734375" bestFit="1" customWidth="1"/>
    <col min="9" max="9" width="20.33203125" style="3" customWidth="1"/>
    <col min="10" max="10" width="3.44140625" style="3" customWidth="1"/>
    <col min="11" max="11" width="8.88671875" style="3"/>
    <col min="12" max="12" width="13.88671875" customWidth="1"/>
    <col min="13" max="13" width="15.6640625" customWidth="1"/>
    <col min="14" max="14" width="20.88671875" bestFit="1" customWidth="1"/>
    <col min="18" max="18" width="16.5546875" customWidth="1"/>
    <col min="19" max="19" width="14.3320312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8" t="s">
        <v>95</v>
      </c>
      <c r="J1" s="49"/>
      <c r="K1" s="49"/>
    </row>
    <row r="2" spans="1:11" x14ac:dyDescent="0.3">
      <c r="A2" t="s">
        <v>8</v>
      </c>
      <c r="B2" t="s">
        <v>9</v>
      </c>
      <c r="C2" t="s">
        <v>10</v>
      </c>
      <c r="D2">
        <v>39</v>
      </c>
      <c r="E2">
        <v>2025</v>
      </c>
      <c r="F2" t="s">
        <v>17</v>
      </c>
    </row>
    <row r="3" spans="1:11" x14ac:dyDescent="0.3">
      <c r="A3" t="s">
        <v>8</v>
      </c>
      <c r="B3" t="s">
        <v>9</v>
      </c>
      <c r="C3" t="s">
        <v>13</v>
      </c>
      <c r="D3">
        <v>39</v>
      </c>
      <c r="E3">
        <v>2025</v>
      </c>
      <c r="F3" t="s">
        <v>14</v>
      </c>
      <c r="G3" t="s">
        <v>15</v>
      </c>
      <c r="I3" s="3">
        <v>1819</v>
      </c>
      <c r="J3" s="3" t="s">
        <v>96</v>
      </c>
      <c r="K3" s="3">
        <v>1737</v>
      </c>
    </row>
    <row r="4" spans="1:11" x14ac:dyDescent="0.3">
      <c r="A4" t="s">
        <v>8</v>
      </c>
      <c r="B4" t="s">
        <v>9</v>
      </c>
      <c r="C4" t="s">
        <v>16</v>
      </c>
      <c r="D4">
        <v>39</v>
      </c>
      <c r="E4">
        <v>2025</v>
      </c>
      <c r="F4" s="2" t="s">
        <v>11</v>
      </c>
      <c r="G4" s="2" t="s">
        <v>12</v>
      </c>
      <c r="H4" t="s">
        <v>94</v>
      </c>
      <c r="J4" s="3" t="s">
        <v>96</v>
      </c>
    </row>
    <row r="5" spans="1:11" x14ac:dyDescent="0.3">
      <c r="A5" t="s">
        <v>18</v>
      </c>
      <c r="B5" t="s">
        <v>19</v>
      </c>
      <c r="C5" t="s">
        <v>16</v>
      </c>
      <c r="D5">
        <v>40</v>
      </c>
      <c r="E5">
        <v>2025</v>
      </c>
      <c r="F5" t="s">
        <v>20</v>
      </c>
      <c r="G5" t="s">
        <v>21</v>
      </c>
      <c r="I5" s="3">
        <f>1612+20</f>
        <v>1632</v>
      </c>
      <c r="J5" s="3" t="s">
        <v>96</v>
      </c>
      <c r="K5" s="3">
        <v>1898</v>
      </c>
    </row>
    <row r="6" spans="1:11" x14ac:dyDescent="0.3">
      <c r="A6" t="s">
        <v>22</v>
      </c>
      <c r="B6" t="s">
        <v>23</v>
      </c>
      <c r="C6" t="s">
        <v>13</v>
      </c>
      <c r="D6">
        <v>40</v>
      </c>
      <c r="E6">
        <v>2025</v>
      </c>
      <c r="F6" t="s">
        <v>24</v>
      </c>
      <c r="G6" t="s">
        <v>25</v>
      </c>
      <c r="I6" s="3">
        <f>899+975</f>
        <v>1874</v>
      </c>
      <c r="J6" s="3" t="s">
        <v>96</v>
      </c>
      <c r="K6" s="3">
        <f>767+757</f>
        <v>1524</v>
      </c>
    </row>
    <row r="7" spans="1:11" x14ac:dyDescent="0.3">
      <c r="A7" t="s">
        <v>22</v>
      </c>
      <c r="B7" t="s">
        <v>23</v>
      </c>
      <c r="C7" t="s">
        <v>16</v>
      </c>
      <c r="D7">
        <v>40</v>
      </c>
      <c r="E7">
        <v>2025</v>
      </c>
      <c r="F7" t="s">
        <v>26</v>
      </c>
      <c r="G7" t="s">
        <v>27</v>
      </c>
      <c r="I7" s="3">
        <v>1878</v>
      </c>
      <c r="J7" s="3" t="s">
        <v>96</v>
      </c>
      <c r="K7" s="3">
        <v>1836</v>
      </c>
    </row>
    <row r="8" spans="1:11" x14ac:dyDescent="0.3">
      <c r="A8" t="s">
        <v>28</v>
      </c>
      <c r="B8" t="s">
        <v>9</v>
      </c>
      <c r="C8" t="s">
        <v>10</v>
      </c>
      <c r="D8">
        <v>40</v>
      </c>
      <c r="E8">
        <v>2025</v>
      </c>
      <c r="F8" t="s">
        <v>17</v>
      </c>
      <c r="J8" s="3" t="s">
        <v>96</v>
      </c>
    </row>
    <row r="9" spans="1:11" x14ac:dyDescent="0.3">
      <c r="A9" t="s">
        <v>28</v>
      </c>
      <c r="B9" t="s">
        <v>9</v>
      </c>
      <c r="C9" t="s">
        <v>13</v>
      </c>
      <c r="D9">
        <v>40</v>
      </c>
      <c r="E9">
        <v>2025</v>
      </c>
      <c r="F9" t="s">
        <v>12</v>
      </c>
      <c r="G9" t="s">
        <v>14</v>
      </c>
      <c r="I9" s="3">
        <f>882+814</f>
        <v>1696</v>
      </c>
      <c r="J9" s="3" t="s">
        <v>96</v>
      </c>
      <c r="K9" s="3">
        <f>859+886</f>
        <v>1745</v>
      </c>
    </row>
    <row r="10" spans="1:11" x14ac:dyDescent="0.3">
      <c r="A10" t="s">
        <v>28</v>
      </c>
      <c r="B10" t="s">
        <v>9</v>
      </c>
      <c r="C10" t="s">
        <v>16</v>
      </c>
      <c r="D10">
        <v>40</v>
      </c>
      <c r="E10">
        <v>2025</v>
      </c>
      <c r="F10" s="2" t="s">
        <v>30</v>
      </c>
      <c r="G10" s="2" t="s">
        <v>31</v>
      </c>
      <c r="H10" t="s">
        <v>94</v>
      </c>
      <c r="J10" s="3" t="s">
        <v>96</v>
      </c>
    </row>
    <row r="11" spans="1:11" x14ac:dyDescent="0.3">
      <c r="A11" t="s">
        <v>33</v>
      </c>
      <c r="B11" t="s">
        <v>23</v>
      </c>
      <c r="C11" t="s">
        <v>13</v>
      </c>
      <c r="D11">
        <v>41</v>
      </c>
      <c r="E11">
        <v>2025</v>
      </c>
      <c r="F11" t="s">
        <v>34</v>
      </c>
      <c r="G11" t="s">
        <v>12</v>
      </c>
      <c r="I11" s="3">
        <f>791+785</f>
        <v>1576</v>
      </c>
      <c r="J11" s="3" t="s">
        <v>96</v>
      </c>
      <c r="K11" s="3">
        <f>797+810</f>
        <v>1607</v>
      </c>
    </row>
    <row r="12" spans="1:11" x14ac:dyDescent="0.3">
      <c r="A12" t="s">
        <v>33</v>
      </c>
      <c r="B12" t="s">
        <v>23</v>
      </c>
      <c r="C12" t="s">
        <v>16</v>
      </c>
      <c r="D12">
        <v>41</v>
      </c>
      <c r="E12">
        <v>2025</v>
      </c>
      <c r="F12" t="s">
        <v>35</v>
      </c>
      <c r="G12" t="s">
        <v>20</v>
      </c>
      <c r="I12" s="3">
        <v>1816</v>
      </c>
      <c r="J12" s="3" t="s">
        <v>96</v>
      </c>
      <c r="K12" s="3">
        <v>1635</v>
      </c>
    </row>
    <row r="13" spans="1:11" x14ac:dyDescent="0.3">
      <c r="A13" t="s">
        <v>36</v>
      </c>
      <c r="B13" t="s">
        <v>9</v>
      </c>
      <c r="C13" t="s">
        <v>10</v>
      </c>
      <c r="D13">
        <v>41</v>
      </c>
      <c r="E13">
        <v>2025</v>
      </c>
      <c r="F13" t="s">
        <v>25</v>
      </c>
      <c r="G13" t="s">
        <v>14</v>
      </c>
      <c r="I13" s="3">
        <v>1491</v>
      </c>
      <c r="J13" s="3" t="s">
        <v>96</v>
      </c>
      <c r="K13" s="3">
        <v>1718</v>
      </c>
    </row>
    <row r="14" spans="1:11" x14ac:dyDescent="0.3">
      <c r="A14" t="s">
        <v>36</v>
      </c>
      <c r="B14" t="s">
        <v>9</v>
      </c>
      <c r="C14" t="s">
        <v>13</v>
      </c>
      <c r="D14">
        <v>41</v>
      </c>
      <c r="E14">
        <v>2025</v>
      </c>
      <c r="F14" t="s">
        <v>21</v>
      </c>
      <c r="G14" t="s">
        <v>24</v>
      </c>
      <c r="I14" s="3">
        <v>1896</v>
      </c>
      <c r="J14" s="3" t="s">
        <v>96</v>
      </c>
      <c r="K14" s="3">
        <v>1874</v>
      </c>
    </row>
    <row r="15" spans="1:11" x14ac:dyDescent="0.3">
      <c r="A15" t="s">
        <v>36</v>
      </c>
      <c r="B15" t="s">
        <v>9</v>
      </c>
      <c r="C15" t="s">
        <v>16</v>
      </c>
      <c r="D15">
        <v>41</v>
      </c>
      <c r="E15">
        <v>2025</v>
      </c>
      <c r="F15" t="s">
        <v>30</v>
      </c>
      <c r="G15" t="s">
        <v>26</v>
      </c>
      <c r="I15" s="3">
        <f>876+762</f>
        <v>1638</v>
      </c>
      <c r="J15" s="3" t="s">
        <v>96</v>
      </c>
      <c r="K15" s="21">
        <f>1066+936</f>
        <v>2002</v>
      </c>
    </row>
    <row r="16" spans="1:11" x14ac:dyDescent="0.3">
      <c r="A16" t="s">
        <v>37</v>
      </c>
      <c r="B16" t="s">
        <v>19</v>
      </c>
      <c r="C16" t="s">
        <v>16</v>
      </c>
      <c r="D16">
        <v>42</v>
      </c>
      <c r="E16">
        <v>2025</v>
      </c>
      <c r="F16" t="s">
        <v>11</v>
      </c>
      <c r="G16" t="s">
        <v>31</v>
      </c>
      <c r="I16" s="3">
        <v>1755</v>
      </c>
      <c r="J16" s="3" t="s">
        <v>96</v>
      </c>
      <c r="K16" s="3">
        <v>1900</v>
      </c>
    </row>
    <row r="17" spans="1:11" x14ac:dyDescent="0.3">
      <c r="A17" t="s">
        <v>38</v>
      </c>
      <c r="B17" t="s">
        <v>23</v>
      </c>
      <c r="C17" t="s">
        <v>13</v>
      </c>
      <c r="D17">
        <v>42</v>
      </c>
      <c r="E17">
        <v>2025</v>
      </c>
      <c r="F17" t="s">
        <v>12</v>
      </c>
      <c r="G17" t="s">
        <v>15</v>
      </c>
      <c r="I17" s="3">
        <f>781+865</f>
        <v>1646</v>
      </c>
      <c r="J17" s="3" t="s">
        <v>96</v>
      </c>
      <c r="K17" s="3">
        <f>954+1014</f>
        <v>1968</v>
      </c>
    </row>
    <row r="18" spans="1:11" x14ac:dyDescent="0.3">
      <c r="A18" t="s">
        <v>38</v>
      </c>
      <c r="B18" t="s">
        <v>23</v>
      </c>
      <c r="C18" t="s">
        <v>16</v>
      </c>
      <c r="D18">
        <v>42</v>
      </c>
      <c r="E18">
        <v>2025</v>
      </c>
      <c r="F18" t="s">
        <v>24</v>
      </c>
      <c r="G18" t="s">
        <v>34</v>
      </c>
      <c r="I18" s="3">
        <v>1868</v>
      </c>
      <c r="J18" s="3" t="s">
        <v>96</v>
      </c>
      <c r="K18" s="3">
        <v>1657</v>
      </c>
    </row>
    <row r="19" spans="1:11" x14ac:dyDescent="0.3">
      <c r="A19" t="s">
        <v>39</v>
      </c>
      <c r="B19" t="s">
        <v>9</v>
      </c>
      <c r="C19" t="s">
        <v>29</v>
      </c>
      <c r="D19">
        <v>42</v>
      </c>
      <c r="E19">
        <v>2025</v>
      </c>
      <c r="F19" t="s">
        <v>35</v>
      </c>
      <c r="G19" t="s">
        <v>14</v>
      </c>
      <c r="I19" s="3">
        <f>1758+10</f>
        <v>1768</v>
      </c>
      <c r="J19" s="3" t="s">
        <v>96</v>
      </c>
      <c r="K19" s="3">
        <v>1725</v>
      </c>
    </row>
    <row r="20" spans="1:11" x14ac:dyDescent="0.3">
      <c r="A20" t="s">
        <v>39</v>
      </c>
      <c r="B20" t="s">
        <v>9</v>
      </c>
      <c r="C20" t="s">
        <v>32</v>
      </c>
      <c r="D20">
        <v>42</v>
      </c>
      <c r="E20">
        <v>2025</v>
      </c>
      <c r="F20" t="s">
        <v>25</v>
      </c>
      <c r="G20" s="2" t="s">
        <v>31</v>
      </c>
      <c r="I20" s="3">
        <v>1553</v>
      </c>
      <c r="J20" s="3" t="s">
        <v>96</v>
      </c>
      <c r="K20" s="3">
        <v>1797</v>
      </c>
    </row>
    <row r="21" spans="1:11" x14ac:dyDescent="0.3">
      <c r="A21" t="s">
        <v>40</v>
      </c>
      <c r="B21" t="s">
        <v>19</v>
      </c>
      <c r="C21" t="s">
        <v>16</v>
      </c>
      <c r="D21">
        <v>43</v>
      </c>
      <c r="E21">
        <v>2025</v>
      </c>
      <c r="F21" t="s">
        <v>11</v>
      </c>
      <c r="G21" t="s">
        <v>20</v>
      </c>
      <c r="I21" s="3">
        <v>1868</v>
      </c>
      <c r="J21" s="3" t="s">
        <v>96</v>
      </c>
      <c r="K21" s="3">
        <f>1529+20</f>
        <v>1549</v>
      </c>
    </row>
    <row r="22" spans="1:11" x14ac:dyDescent="0.3">
      <c r="A22" t="s">
        <v>41</v>
      </c>
      <c r="B22" t="s">
        <v>23</v>
      </c>
      <c r="C22" t="s">
        <v>13</v>
      </c>
      <c r="D22">
        <v>43</v>
      </c>
      <c r="E22">
        <v>2025</v>
      </c>
      <c r="F22" t="s">
        <v>12</v>
      </c>
      <c r="G22" t="s">
        <v>24</v>
      </c>
      <c r="I22" s="3">
        <v>1525</v>
      </c>
      <c r="J22" s="3" t="s">
        <v>96</v>
      </c>
      <c r="K22" s="3">
        <v>1931</v>
      </c>
    </row>
    <row r="23" spans="1:11" x14ac:dyDescent="0.3">
      <c r="A23" t="s">
        <v>41</v>
      </c>
      <c r="B23" t="s">
        <v>23</v>
      </c>
      <c r="C23" t="s">
        <v>16</v>
      </c>
      <c r="D23">
        <v>43</v>
      </c>
      <c r="E23">
        <v>2025</v>
      </c>
      <c r="F23" t="s">
        <v>21</v>
      </c>
      <c r="G23" t="s">
        <v>15</v>
      </c>
      <c r="I23" s="3">
        <v>1891</v>
      </c>
      <c r="J23" s="3" t="s">
        <v>96</v>
      </c>
      <c r="K23" s="3">
        <v>1726</v>
      </c>
    </row>
    <row r="24" spans="1:11" x14ac:dyDescent="0.3">
      <c r="A24" t="s">
        <v>42</v>
      </c>
      <c r="B24" t="s">
        <v>9</v>
      </c>
      <c r="C24" t="s">
        <v>10</v>
      </c>
      <c r="D24">
        <v>43</v>
      </c>
      <c r="E24">
        <v>2025</v>
      </c>
      <c r="F24" t="s">
        <v>17</v>
      </c>
      <c r="J24" s="3" t="s">
        <v>96</v>
      </c>
    </row>
    <row r="25" spans="1:11" x14ac:dyDescent="0.3">
      <c r="A25" t="s">
        <v>42</v>
      </c>
      <c r="B25" t="s">
        <v>9</v>
      </c>
      <c r="C25" t="s">
        <v>13</v>
      </c>
      <c r="D25">
        <v>43</v>
      </c>
      <c r="E25">
        <v>2025</v>
      </c>
      <c r="F25" t="s">
        <v>26</v>
      </c>
      <c r="G25" t="s">
        <v>35</v>
      </c>
      <c r="I25" s="3">
        <f>959+903</f>
        <v>1862</v>
      </c>
      <c r="J25" s="3" t="s">
        <v>96</v>
      </c>
      <c r="K25" s="3">
        <f>828+10+895+10</f>
        <v>1743</v>
      </c>
    </row>
    <row r="26" spans="1:11" x14ac:dyDescent="0.3">
      <c r="A26" t="s">
        <v>42</v>
      </c>
      <c r="B26" t="s">
        <v>9</v>
      </c>
      <c r="C26" t="s">
        <v>16</v>
      </c>
      <c r="D26">
        <v>43</v>
      </c>
      <c r="E26">
        <v>2025</v>
      </c>
      <c r="F26" t="s">
        <v>27</v>
      </c>
      <c r="G26" t="s">
        <v>25</v>
      </c>
      <c r="I26" s="3">
        <v>1967</v>
      </c>
      <c r="J26" s="3" t="s">
        <v>96</v>
      </c>
      <c r="K26" s="3">
        <v>1356</v>
      </c>
    </row>
    <row r="27" spans="1:11" x14ac:dyDescent="0.3">
      <c r="A27" t="s">
        <v>43</v>
      </c>
      <c r="B27" t="s">
        <v>19</v>
      </c>
      <c r="C27" t="s">
        <v>16</v>
      </c>
      <c r="D27">
        <v>44</v>
      </c>
      <c r="E27">
        <v>2025</v>
      </c>
      <c r="F27" t="s">
        <v>44</v>
      </c>
      <c r="G27" t="s">
        <v>11</v>
      </c>
      <c r="I27" s="3">
        <f>1642+50</f>
        <v>1692</v>
      </c>
      <c r="J27" s="3" t="s">
        <v>96</v>
      </c>
      <c r="K27" s="3">
        <v>1609</v>
      </c>
    </row>
    <row r="28" spans="1:11" x14ac:dyDescent="0.3">
      <c r="A28" t="s">
        <v>45</v>
      </c>
      <c r="B28" t="s">
        <v>23</v>
      </c>
      <c r="C28" t="s">
        <v>13</v>
      </c>
      <c r="D28">
        <v>44</v>
      </c>
      <c r="E28">
        <v>2025</v>
      </c>
      <c r="F28" s="2" t="s">
        <v>31</v>
      </c>
      <c r="G28" s="2" t="s">
        <v>34</v>
      </c>
      <c r="H28" t="s">
        <v>94</v>
      </c>
      <c r="J28" s="3" t="s">
        <v>96</v>
      </c>
    </row>
    <row r="29" spans="1:11" x14ac:dyDescent="0.3">
      <c r="A29" t="s">
        <v>45</v>
      </c>
      <c r="B29" t="s">
        <v>23</v>
      </c>
      <c r="C29" t="s">
        <v>16</v>
      </c>
      <c r="D29">
        <v>44</v>
      </c>
      <c r="E29">
        <v>2025</v>
      </c>
      <c r="F29" s="2" t="s">
        <v>15</v>
      </c>
      <c r="G29" s="2" t="s">
        <v>24</v>
      </c>
      <c r="H29" t="s">
        <v>94</v>
      </c>
      <c r="J29" s="3" t="s">
        <v>96</v>
      </c>
    </row>
    <row r="30" spans="1:11" x14ac:dyDescent="0.3">
      <c r="A30" t="s">
        <v>46</v>
      </c>
      <c r="B30" t="s">
        <v>9</v>
      </c>
      <c r="C30" t="s">
        <v>29</v>
      </c>
      <c r="D30">
        <v>44</v>
      </c>
      <c r="E30">
        <v>2025</v>
      </c>
      <c r="F30" t="s">
        <v>20</v>
      </c>
      <c r="G30" t="s">
        <v>12</v>
      </c>
      <c r="I30" s="3">
        <v>1604</v>
      </c>
      <c r="J30" s="3" t="s">
        <v>96</v>
      </c>
      <c r="K30" s="3">
        <f>853+870</f>
        <v>1723</v>
      </c>
    </row>
    <row r="31" spans="1:11" x14ac:dyDescent="0.3">
      <c r="A31" t="s">
        <v>46</v>
      </c>
      <c r="B31" t="s">
        <v>9</v>
      </c>
      <c r="C31" t="s">
        <v>32</v>
      </c>
      <c r="D31">
        <v>44</v>
      </c>
      <c r="E31">
        <v>2025</v>
      </c>
      <c r="F31" t="s">
        <v>21</v>
      </c>
      <c r="G31" t="s">
        <v>14</v>
      </c>
      <c r="I31" s="3">
        <v>1842</v>
      </c>
      <c r="J31" s="3" t="s">
        <v>96</v>
      </c>
      <c r="K31" s="3">
        <v>1831</v>
      </c>
    </row>
    <row r="32" spans="1:11" x14ac:dyDescent="0.3">
      <c r="A32" t="s">
        <v>47</v>
      </c>
      <c r="B32" t="s">
        <v>19</v>
      </c>
      <c r="C32" t="s">
        <v>16</v>
      </c>
      <c r="D32">
        <v>45</v>
      </c>
      <c r="E32">
        <v>2025</v>
      </c>
      <c r="F32" t="s">
        <v>11</v>
      </c>
      <c r="G32" t="s">
        <v>35</v>
      </c>
      <c r="I32" s="3">
        <v>1896</v>
      </c>
      <c r="J32" s="3" t="s">
        <v>96</v>
      </c>
      <c r="K32" s="3">
        <v>1749</v>
      </c>
    </row>
    <row r="33" spans="1:12" x14ac:dyDescent="0.3">
      <c r="A33" t="s">
        <v>48</v>
      </c>
      <c r="B33" t="s">
        <v>23</v>
      </c>
      <c r="C33" t="s">
        <v>13</v>
      </c>
      <c r="D33">
        <v>45</v>
      </c>
      <c r="E33">
        <v>2025</v>
      </c>
      <c r="F33" t="s">
        <v>12</v>
      </c>
      <c r="G33" t="s">
        <v>25</v>
      </c>
      <c r="I33" s="3">
        <f>765+869</f>
        <v>1634</v>
      </c>
      <c r="J33" s="3" t="s">
        <v>96</v>
      </c>
      <c r="K33" s="3">
        <f>1622</f>
        <v>1622</v>
      </c>
    </row>
    <row r="34" spans="1:12" x14ac:dyDescent="0.3">
      <c r="A34" t="s">
        <v>48</v>
      </c>
      <c r="B34" t="s">
        <v>23</v>
      </c>
      <c r="C34" t="s">
        <v>16</v>
      </c>
      <c r="D34">
        <v>45</v>
      </c>
      <c r="E34">
        <v>2025</v>
      </c>
      <c r="F34" t="s">
        <v>15</v>
      </c>
      <c r="G34" t="s">
        <v>20</v>
      </c>
      <c r="I34" s="3">
        <v>1875</v>
      </c>
      <c r="J34" s="3" t="s">
        <v>96</v>
      </c>
      <c r="K34" s="3">
        <f>1549+30</f>
        <v>1579</v>
      </c>
    </row>
    <row r="35" spans="1:12" x14ac:dyDescent="0.3">
      <c r="A35" t="s">
        <v>49</v>
      </c>
      <c r="B35" t="s">
        <v>9</v>
      </c>
      <c r="C35" t="s">
        <v>10</v>
      </c>
      <c r="D35">
        <v>45</v>
      </c>
      <c r="E35">
        <v>2025</v>
      </c>
      <c r="F35" t="s">
        <v>27</v>
      </c>
      <c r="G35" t="s">
        <v>30</v>
      </c>
      <c r="I35" s="3">
        <v>1844</v>
      </c>
      <c r="J35" s="3" t="s">
        <v>96</v>
      </c>
      <c r="K35" s="3">
        <v>1626</v>
      </c>
      <c r="L35" s="20" t="s">
        <v>173</v>
      </c>
    </row>
    <row r="36" spans="1:12" x14ac:dyDescent="0.3">
      <c r="A36" t="s">
        <v>49</v>
      </c>
      <c r="B36" t="s">
        <v>9</v>
      </c>
      <c r="C36" t="s">
        <v>13</v>
      </c>
      <c r="D36">
        <v>45</v>
      </c>
      <c r="E36">
        <v>2025</v>
      </c>
      <c r="F36" t="s">
        <v>34</v>
      </c>
      <c r="G36" t="s">
        <v>44</v>
      </c>
      <c r="I36" s="3">
        <f>837+716+40</f>
        <v>1593</v>
      </c>
      <c r="J36" s="3" t="s">
        <v>96</v>
      </c>
      <c r="K36" s="3">
        <f>674+729+110</f>
        <v>1513</v>
      </c>
    </row>
    <row r="37" spans="1:12" x14ac:dyDescent="0.3">
      <c r="A37" t="s">
        <v>49</v>
      </c>
      <c r="B37" t="s">
        <v>9</v>
      </c>
      <c r="C37" t="s">
        <v>16</v>
      </c>
      <c r="D37">
        <v>45</v>
      </c>
      <c r="E37">
        <v>2025</v>
      </c>
      <c r="F37" t="s">
        <v>14</v>
      </c>
      <c r="G37" t="s">
        <v>24</v>
      </c>
      <c r="I37" s="3">
        <v>1924</v>
      </c>
      <c r="J37" s="3" t="s">
        <v>96</v>
      </c>
      <c r="K37" s="14">
        <v>2067</v>
      </c>
    </row>
    <row r="38" spans="1:12" x14ac:dyDescent="0.3">
      <c r="A38" t="s">
        <v>50</v>
      </c>
      <c r="B38" t="s">
        <v>19</v>
      </c>
      <c r="C38" t="s">
        <v>16</v>
      </c>
      <c r="D38">
        <v>46</v>
      </c>
      <c r="E38">
        <v>2025</v>
      </c>
      <c r="F38" t="s">
        <v>11</v>
      </c>
      <c r="G38" t="s">
        <v>21</v>
      </c>
      <c r="I38" s="3">
        <v>1701</v>
      </c>
      <c r="J38" s="3" t="s">
        <v>96</v>
      </c>
      <c r="K38" s="3">
        <v>1952</v>
      </c>
    </row>
    <row r="39" spans="1:12" x14ac:dyDescent="0.3">
      <c r="A39" t="s">
        <v>51</v>
      </c>
      <c r="B39" t="s">
        <v>23</v>
      </c>
      <c r="C39" t="s">
        <v>13</v>
      </c>
      <c r="D39">
        <v>46</v>
      </c>
      <c r="E39">
        <v>2025</v>
      </c>
      <c r="F39" s="2" t="s">
        <v>35</v>
      </c>
      <c r="G39" s="2" t="s">
        <v>12</v>
      </c>
      <c r="H39" t="s">
        <v>183</v>
      </c>
      <c r="I39" s="3">
        <f>924+962+10</f>
        <v>1896</v>
      </c>
      <c r="J39" s="3" t="s">
        <v>96</v>
      </c>
      <c r="K39" s="3">
        <f>705+828</f>
        <v>1533</v>
      </c>
    </row>
    <row r="40" spans="1:12" x14ac:dyDescent="0.3">
      <c r="A40" t="s">
        <v>51</v>
      </c>
      <c r="B40" t="s">
        <v>23</v>
      </c>
      <c r="C40" t="s">
        <v>16</v>
      </c>
      <c r="D40">
        <v>46</v>
      </c>
      <c r="E40">
        <v>2025</v>
      </c>
      <c r="F40" t="s">
        <v>20</v>
      </c>
      <c r="G40" t="s">
        <v>25</v>
      </c>
      <c r="I40" s="3">
        <f>1783+10</f>
        <v>1793</v>
      </c>
      <c r="J40" s="3" t="s">
        <v>96</v>
      </c>
      <c r="K40" s="3">
        <f>1449+30</f>
        <v>1479</v>
      </c>
    </row>
    <row r="41" spans="1:12" x14ac:dyDescent="0.3">
      <c r="A41" t="s">
        <v>52</v>
      </c>
      <c r="B41" t="s">
        <v>9</v>
      </c>
      <c r="C41" t="s">
        <v>29</v>
      </c>
      <c r="D41">
        <v>46</v>
      </c>
      <c r="E41">
        <v>2025</v>
      </c>
      <c r="F41" t="s">
        <v>31</v>
      </c>
      <c r="G41" t="s">
        <v>26</v>
      </c>
      <c r="I41" s="3">
        <f>944+961</f>
        <v>1905</v>
      </c>
      <c r="J41" s="3" t="s">
        <v>96</v>
      </c>
      <c r="K41" s="3">
        <f>929+946</f>
        <v>1875</v>
      </c>
    </row>
    <row r="42" spans="1:12" x14ac:dyDescent="0.3">
      <c r="A42" t="s">
        <v>52</v>
      </c>
      <c r="B42" t="s">
        <v>9</v>
      </c>
      <c r="C42" t="s">
        <v>32</v>
      </c>
      <c r="D42">
        <v>46</v>
      </c>
      <c r="E42">
        <v>2025</v>
      </c>
      <c r="F42" s="2" t="s">
        <v>34</v>
      </c>
      <c r="G42" s="2" t="s">
        <v>15</v>
      </c>
      <c r="H42" t="s">
        <v>190</v>
      </c>
      <c r="I42" s="3">
        <f>848+888+10</f>
        <v>1746</v>
      </c>
      <c r="J42" s="3" t="s">
        <v>96</v>
      </c>
      <c r="K42" s="3">
        <f>880+837</f>
        <v>1717</v>
      </c>
    </row>
    <row r="43" spans="1:12" x14ac:dyDescent="0.3">
      <c r="A43" t="s">
        <v>53</v>
      </c>
      <c r="B43" t="s">
        <v>19</v>
      </c>
      <c r="C43" t="s">
        <v>16</v>
      </c>
      <c r="D43">
        <v>47</v>
      </c>
      <c r="E43">
        <v>2025</v>
      </c>
      <c r="F43" s="2" t="s">
        <v>14</v>
      </c>
      <c r="G43" s="2" t="s">
        <v>11</v>
      </c>
      <c r="H43" t="s">
        <v>184</v>
      </c>
      <c r="I43" s="3">
        <v>1836</v>
      </c>
      <c r="J43" s="3" t="s">
        <v>96</v>
      </c>
      <c r="K43" s="3">
        <v>1750</v>
      </c>
    </row>
    <row r="44" spans="1:12" x14ac:dyDescent="0.3">
      <c r="A44" t="s">
        <v>54</v>
      </c>
      <c r="B44" t="s">
        <v>23</v>
      </c>
      <c r="C44" t="s">
        <v>13</v>
      </c>
      <c r="D44">
        <v>47</v>
      </c>
      <c r="E44">
        <v>2025</v>
      </c>
      <c r="F44" t="s">
        <v>21</v>
      </c>
      <c r="G44" t="s">
        <v>12</v>
      </c>
      <c r="I44" s="3">
        <v>1756</v>
      </c>
      <c r="J44" s="3" t="s">
        <v>96</v>
      </c>
      <c r="K44" s="3">
        <v>1724</v>
      </c>
    </row>
    <row r="45" spans="1:12" x14ac:dyDescent="0.3">
      <c r="A45" t="s">
        <v>54</v>
      </c>
      <c r="B45" t="s">
        <v>23</v>
      </c>
      <c r="C45" t="s">
        <v>16</v>
      </c>
      <c r="D45">
        <v>47</v>
      </c>
      <c r="E45">
        <v>2025</v>
      </c>
      <c r="F45" t="s">
        <v>44</v>
      </c>
      <c r="G45" t="s">
        <v>20</v>
      </c>
      <c r="I45" s="3">
        <f>1527+80</f>
        <v>1607</v>
      </c>
      <c r="J45" s="3" t="s">
        <v>96</v>
      </c>
      <c r="K45" s="3">
        <f>1671+40</f>
        <v>1711</v>
      </c>
    </row>
    <row r="46" spans="1:12" x14ac:dyDescent="0.3">
      <c r="A46" t="s">
        <v>55</v>
      </c>
      <c r="B46" t="s">
        <v>9</v>
      </c>
      <c r="C46" t="s">
        <v>10</v>
      </c>
      <c r="D46">
        <v>47</v>
      </c>
      <c r="E46">
        <v>2025</v>
      </c>
      <c r="F46" t="s">
        <v>24</v>
      </c>
      <c r="G46" t="s">
        <v>27</v>
      </c>
      <c r="I46" s="21">
        <v>2029</v>
      </c>
      <c r="J46" s="3" t="s">
        <v>96</v>
      </c>
      <c r="K46" s="3">
        <v>1797</v>
      </c>
    </row>
    <row r="47" spans="1:12" x14ac:dyDescent="0.3">
      <c r="A47" t="s">
        <v>55</v>
      </c>
      <c r="B47" t="s">
        <v>9</v>
      </c>
      <c r="C47" t="s">
        <v>13</v>
      </c>
      <c r="D47">
        <v>47</v>
      </c>
      <c r="E47">
        <v>2025</v>
      </c>
      <c r="F47" t="s">
        <v>26</v>
      </c>
      <c r="G47" t="s">
        <v>34</v>
      </c>
      <c r="I47" s="3">
        <f>973+966</f>
        <v>1939</v>
      </c>
      <c r="J47" s="3" t="s">
        <v>96</v>
      </c>
      <c r="K47" s="3">
        <f>789+778+50</f>
        <v>1617</v>
      </c>
    </row>
    <row r="48" spans="1:12" x14ac:dyDescent="0.3">
      <c r="A48" t="s">
        <v>55</v>
      </c>
      <c r="B48" t="s">
        <v>9</v>
      </c>
      <c r="C48" t="s">
        <v>16</v>
      </c>
      <c r="D48">
        <v>47</v>
      </c>
      <c r="E48">
        <v>2025</v>
      </c>
      <c r="F48" t="s">
        <v>15</v>
      </c>
      <c r="G48" t="s">
        <v>35</v>
      </c>
      <c r="I48" s="3">
        <f>881+997</f>
        <v>1878</v>
      </c>
      <c r="J48" s="3" t="s">
        <v>96</v>
      </c>
      <c r="K48" s="3">
        <f>926+959</f>
        <v>1885</v>
      </c>
    </row>
    <row r="49" spans="1:11" x14ac:dyDescent="0.3">
      <c r="A49" t="s">
        <v>56</v>
      </c>
      <c r="B49" t="s">
        <v>19</v>
      </c>
      <c r="C49" t="s">
        <v>16</v>
      </c>
      <c r="D49">
        <v>48</v>
      </c>
      <c r="E49">
        <v>2025</v>
      </c>
      <c r="F49" t="s">
        <v>25</v>
      </c>
      <c r="G49" t="s">
        <v>11</v>
      </c>
      <c r="I49" s="3">
        <f>1569+30</f>
        <v>1599</v>
      </c>
      <c r="J49" s="3" t="s">
        <v>96</v>
      </c>
      <c r="K49" s="3">
        <v>1705</v>
      </c>
    </row>
    <row r="50" spans="1:11" x14ac:dyDescent="0.3">
      <c r="A50" t="s">
        <v>57</v>
      </c>
      <c r="B50" t="s">
        <v>23</v>
      </c>
      <c r="C50" t="s">
        <v>13</v>
      </c>
      <c r="D50">
        <v>48</v>
      </c>
      <c r="E50">
        <v>2025</v>
      </c>
      <c r="F50" t="s">
        <v>12</v>
      </c>
      <c r="G50" t="s">
        <v>30</v>
      </c>
      <c r="I50" s="3">
        <f>884+841</f>
        <v>1725</v>
      </c>
      <c r="J50" s="3" t="s">
        <v>96</v>
      </c>
      <c r="K50" s="3">
        <f>807+828+20</f>
        <v>1655</v>
      </c>
    </row>
    <row r="51" spans="1:11" x14ac:dyDescent="0.3">
      <c r="A51" s="22">
        <v>46353</v>
      </c>
      <c r="B51" s="2" t="s">
        <v>189</v>
      </c>
      <c r="C51" s="2" t="s">
        <v>16</v>
      </c>
      <c r="D51">
        <v>48</v>
      </c>
      <c r="E51">
        <v>2025</v>
      </c>
      <c r="F51" t="s">
        <v>20</v>
      </c>
      <c r="G51" t="s">
        <v>14</v>
      </c>
      <c r="I51" s="3">
        <v>1680</v>
      </c>
      <c r="J51" s="3" t="s">
        <v>96</v>
      </c>
      <c r="K51" s="3">
        <v>1692</v>
      </c>
    </row>
    <row r="52" spans="1:11" x14ac:dyDescent="0.3">
      <c r="A52" t="s">
        <v>58</v>
      </c>
      <c r="B52" t="s">
        <v>9</v>
      </c>
      <c r="C52" t="s">
        <v>29</v>
      </c>
      <c r="D52">
        <v>48</v>
      </c>
      <c r="E52">
        <v>2025</v>
      </c>
      <c r="F52" t="s">
        <v>44</v>
      </c>
      <c r="G52" t="s">
        <v>27</v>
      </c>
      <c r="I52" s="3">
        <f>1510+80</f>
        <v>1590</v>
      </c>
      <c r="J52" s="3" t="s">
        <v>96</v>
      </c>
      <c r="K52" s="3">
        <v>1912</v>
      </c>
    </row>
    <row r="53" spans="1:11" x14ac:dyDescent="0.3">
      <c r="A53" t="s">
        <v>58</v>
      </c>
      <c r="B53" t="s">
        <v>9</v>
      </c>
      <c r="C53" t="s">
        <v>32</v>
      </c>
      <c r="D53">
        <v>48</v>
      </c>
      <c r="E53">
        <v>2025</v>
      </c>
      <c r="F53" t="s">
        <v>35</v>
      </c>
      <c r="G53" t="s">
        <v>21</v>
      </c>
      <c r="I53" s="3">
        <v>1887</v>
      </c>
      <c r="J53" s="3" t="s">
        <v>96</v>
      </c>
      <c r="K53" s="3">
        <v>1808</v>
      </c>
    </row>
    <row r="54" spans="1:11" x14ac:dyDescent="0.3">
      <c r="A54" t="s">
        <v>59</v>
      </c>
      <c r="B54" t="s">
        <v>19</v>
      </c>
      <c r="C54" t="s">
        <v>16</v>
      </c>
      <c r="D54">
        <v>49</v>
      </c>
      <c r="E54">
        <v>2025</v>
      </c>
      <c r="F54" t="s">
        <v>26</v>
      </c>
      <c r="G54" t="s">
        <v>11</v>
      </c>
      <c r="I54" s="3">
        <f>872+833</f>
        <v>1705</v>
      </c>
      <c r="J54" s="3" t="s">
        <v>96</v>
      </c>
      <c r="K54" s="3">
        <f>869+946</f>
        <v>1815</v>
      </c>
    </row>
    <row r="55" spans="1:11" x14ac:dyDescent="0.3">
      <c r="A55" t="s">
        <v>60</v>
      </c>
      <c r="B55" t="s">
        <v>23</v>
      </c>
      <c r="C55" t="s">
        <v>13</v>
      </c>
      <c r="D55">
        <v>49</v>
      </c>
      <c r="E55">
        <v>2025</v>
      </c>
      <c r="F55" t="s">
        <v>27</v>
      </c>
      <c r="G55" t="s">
        <v>12</v>
      </c>
      <c r="I55" s="3">
        <v>1721</v>
      </c>
      <c r="J55" s="3" t="s">
        <v>96</v>
      </c>
      <c r="K55" s="3">
        <v>1635</v>
      </c>
    </row>
    <row r="56" spans="1:11" x14ac:dyDescent="0.3">
      <c r="A56" t="s">
        <v>60</v>
      </c>
      <c r="B56" t="s">
        <v>23</v>
      </c>
      <c r="C56" t="s">
        <v>16</v>
      </c>
      <c r="D56">
        <v>49</v>
      </c>
      <c r="E56">
        <v>2025</v>
      </c>
      <c r="F56" t="s">
        <v>31</v>
      </c>
      <c r="G56" t="s">
        <v>44</v>
      </c>
      <c r="I56" s="3">
        <v>1692</v>
      </c>
      <c r="J56" s="3" t="s">
        <v>96</v>
      </c>
      <c r="K56" s="3">
        <f>1257+110</f>
        <v>1367</v>
      </c>
    </row>
    <row r="57" spans="1:11" x14ac:dyDescent="0.3">
      <c r="A57" t="s">
        <v>61</v>
      </c>
      <c r="B57" t="s">
        <v>9</v>
      </c>
      <c r="C57" t="s">
        <v>10</v>
      </c>
      <c r="D57">
        <v>49</v>
      </c>
      <c r="E57">
        <v>2025</v>
      </c>
      <c r="F57" t="s">
        <v>34</v>
      </c>
      <c r="G57" t="s">
        <v>20</v>
      </c>
      <c r="I57" s="3">
        <f>880+832</f>
        <v>1712</v>
      </c>
      <c r="J57" s="3" t="s">
        <v>96</v>
      </c>
      <c r="K57" s="3">
        <f>877+770+30</f>
        <v>1677</v>
      </c>
    </row>
    <row r="58" spans="1:11" x14ac:dyDescent="0.3">
      <c r="A58" t="s">
        <v>61</v>
      </c>
      <c r="B58" t="s">
        <v>9</v>
      </c>
      <c r="C58" t="s">
        <v>13</v>
      </c>
      <c r="D58">
        <v>49</v>
      </c>
      <c r="E58">
        <v>2025</v>
      </c>
      <c r="F58" s="2" t="s">
        <v>24</v>
      </c>
      <c r="G58" s="2" t="s">
        <v>35</v>
      </c>
      <c r="H58" t="s">
        <v>174</v>
      </c>
      <c r="I58" s="3">
        <v>1975</v>
      </c>
      <c r="J58" s="3" t="s">
        <v>96</v>
      </c>
      <c r="K58" s="3">
        <v>1899</v>
      </c>
    </row>
    <row r="59" spans="1:11" x14ac:dyDescent="0.3">
      <c r="A59" t="s">
        <v>61</v>
      </c>
      <c r="B59" t="s">
        <v>9</v>
      </c>
      <c r="C59" t="s">
        <v>16</v>
      </c>
      <c r="D59">
        <v>49</v>
      </c>
      <c r="E59">
        <v>2025</v>
      </c>
      <c r="F59" t="s">
        <v>25</v>
      </c>
      <c r="G59" t="s">
        <v>21</v>
      </c>
      <c r="I59" s="3">
        <v>1388</v>
      </c>
      <c r="J59" s="3" t="s">
        <v>96</v>
      </c>
      <c r="K59" s="3">
        <f>833+942</f>
        <v>1775</v>
      </c>
    </row>
    <row r="60" spans="1:11" x14ac:dyDescent="0.3">
      <c r="A60" t="s">
        <v>62</v>
      </c>
      <c r="B60" t="s">
        <v>19</v>
      </c>
      <c r="C60" t="s">
        <v>16</v>
      </c>
      <c r="D60">
        <v>50</v>
      </c>
      <c r="E60">
        <v>2025</v>
      </c>
      <c r="F60" t="s">
        <v>14</v>
      </c>
      <c r="G60" t="s">
        <v>26</v>
      </c>
      <c r="I60" s="3">
        <f>907+915</f>
        <v>1822</v>
      </c>
      <c r="J60" s="3" t="s">
        <v>96</v>
      </c>
      <c r="K60" s="3">
        <f>825+945</f>
        <v>1770</v>
      </c>
    </row>
    <row r="61" spans="1:11" x14ac:dyDescent="0.3">
      <c r="A61" t="s">
        <v>63</v>
      </c>
      <c r="B61" t="s">
        <v>23</v>
      </c>
      <c r="C61" t="s">
        <v>13</v>
      </c>
      <c r="D61">
        <v>50</v>
      </c>
      <c r="E61">
        <v>2025</v>
      </c>
      <c r="F61" t="s">
        <v>31</v>
      </c>
      <c r="G61" t="s">
        <v>12</v>
      </c>
      <c r="I61" s="3">
        <f>995+904</f>
        <v>1899</v>
      </c>
      <c r="J61" s="3" t="s">
        <v>96</v>
      </c>
      <c r="K61" s="3">
        <f>836+883</f>
        <v>1719</v>
      </c>
    </row>
    <row r="62" spans="1:11" x14ac:dyDescent="0.3">
      <c r="A62" t="s">
        <v>63</v>
      </c>
      <c r="B62" t="s">
        <v>23</v>
      </c>
      <c r="C62" t="s">
        <v>16</v>
      </c>
      <c r="D62">
        <v>50</v>
      </c>
      <c r="E62">
        <v>2025</v>
      </c>
      <c r="F62" t="s">
        <v>30</v>
      </c>
      <c r="G62" t="s">
        <v>15</v>
      </c>
      <c r="I62" s="3">
        <f>1673+30</f>
        <v>1703</v>
      </c>
      <c r="J62" s="3" t="s">
        <v>96</v>
      </c>
      <c r="K62" s="3">
        <v>1775</v>
      </c>
    </row>
    <row r="63" spans="1:11" x14ac:dyDescent="0.3">
      <c r="A63" t="s">
        <v>64</v>
      </c>
      <c r="B63" t="s">
        <v>9</v>
      </c>
      <c r="C63" t="s">
        <v>29</v>
      </c>
      <c r="D63">
        <v>50</v>
      </c>
      <c r="E63">
        <v>2025</v>
      </c>
      <c r="F63" t="s">
        <v>24</v>
      </c>
      <c r="G63" t="s">
        <v>20</v>
      </c>
      <c r="I63" s="3">
        <v>1888</v>
      </c>
      <c r="J63" s="3" t="s">
        <v>96</v>
      </c>
      <c r="K63" s="3">
        <f>1645+20</f>
        <v>1665</v>
      </c>
    </row>
    <row r="64" spans="1:11" x14ac:dyDescent="0.3">
      <c r="A64" t="s">
        <v>64</v>
      </c>
      <c r="B64" t="s">
        <v>9</v>
      </c>
      <c r="C64" t="s">
        <v>32</v>
      </c>
      <c r="D64">
        <v>50</v>
      </c>
      <c r="E64">
        <v>2025</v>
      </c>
      <c r="F64" t="s">
        <v>27</v>
      </c>
      <c r="G64" t="s">
        <v>21</v>
      </c>
      <c r="I64" s="3">
        <f>1006+896</f>
        <v>1902</v>
      </c>
      <c r="J64" s="3" t="s">
        <v>96</v>
      </c>
      <c r="K64" s="3">
        <f>931+875</f>
        <v>1806</v>
      </c>
    </row>
    <row r="65" spans="1:11" x14ac:dyDescent="0.3">
      <c r="A65" s="22">
        <v>46006</v>
      </c>
      <c r="B65" t="s">
        <v>19</v>
      </c>
      <c r="C65" t="s">
        <v>16</v>
      </c>
      <c r="D65">
        <v>41</v>
      </c>
      <c r="E65">
        <v>2025</v>
      </c>
      <c r="F65" s="2" t="s">
        <v>15</v>
      </c>
      <c r="G65" s="2" t="s">
        <v>11</v>
      </c>
      <c r="H65" t="s">
        <v>215</v>
      </c>
      <c r="I65" s="3">
        <f>818+857</f>
        <v>1675</v>
      </c>
      <c r="J65" s="3" t="s">
        <v>96</v>
      </c>
      <c r="K65" s="3">
        <f>946+834</f>
        <v>1780</v>
      </c>
    </row>
    <row r="66" spans="1:11" x14ac:dyDescent="0.3">
      <c r="A66" t="s">
        <v>65</v>
      </c>
      <c r="B66" t="s">
        <v>9</v>
      </c>
      <c r="C66" t="s">
        <v>29</v>
      </c>
      <c r="D66">
        <v>2</v>
      </c>
      <c r="E66">
        <v>2026</v>
      </c>
      <c r="F66" t="s">
        <v>12</v>
      </c>
      <c r="G66" t="s">
        <v>26</v>
      </c>
      <c r="I66" s="3">
        <f>676+726</f>
        <v>1402</v>
      </c>
      <c r="J66" s="3" t="s">
        <v>96</v>
      </c>
      <c r="K66" s="3">
        <f>817+837</f>
        <v>1654</v>
      </c>
    </row>
    <row r="67" spans="1:11" x14ac:dyDescent="0.3">
      <c r="A67" t="s">
        <v>65</v>
      </c>
      <c r="B67" t="s">
        <v>9</v>
      </c>
      <c r="C67" t="s">
        <v>32</v>
      </c>
      <c r="D67">
        <v>2</v>
      </c>
      <c r="E67">
        <v>2026</v>
      </c>
      <c r="F67" s="2" t="s">
        <v>21</v>
      </c>
      <c r="G67" s="2" t="s">
        <v>44</v>
      </c>
      <c r="H67" t="s">
        <v>94</v>
      </c>
      <c r="J67" s="3" t="s">
        <v>96</v>
      </c>
    </row>
    <row r="68" spans="1:11" x14ac:dyDescent="0.3">
      <c r="A68" t="s">
        <v>66</v>
      </c>
      <c r="B68" t="s">
        <v>19</v>
      </c>
      <c r="C68" t="s">
        <v>16</v>
      </c>
      <c r="D68">
        <v>3</v>
      </c>
      <c r="E68">
        <v>2026</v>
      </c>
      <c r="F68" t="s">
        <v>14</v>
      </c>
      <c r="G68" t="s">
        <v>27</v>
      </c>
      <c r="H68" s="20" t="s">
        <v>242</v>
      </c>
      <c r="I68" s="3">
        <f>835+932</f>
        <v>1767</v>
      </c>
      <c r="J68" s="3" t="s">
        <v>96</v>
      </c>
      <c r="K68" s="3">
        <f>836+858+10</f>
        <v>1704</v>
      </c>
    </row>
    <row r="69" spans="1:11" x14ac:dyDescent="0.3">
      <c r="A69" t="s">
        <v>67</v>
      </c>
      <c r="B69" t="s">
        <v>23</v>
      </c>
      <c r="C69" t="s">
        <v>13</v>
      </c>
      <c r="D69">
        <v>3</v>
      </c>
      <c r="E69">
        <v>2026</v>
      </c>
      <c r="F69" t="s">
        <v>30</v>
      </c>
      <c r="G69" t="s">
        <v>35</v>
      </c>
      <c r="I69" s="3">
        <v>1532</v>
      </c>
      <c r="J69" s="3" t="s">
        <v>96</v>
      </c>
      <c r="K69" s="3">
        <v>1718</v>
      </c>
    </row>
    <row r="70" spans="1:11" x14ac:dyDescent="0.3">
      <c r="A70" t="s">
        <v>67</v>
      </c>
      <c r="B70" t="s">
        <v>23</v>
      </c>
      <c r="C70" t="s">
        <v>16</v>
      </c>
      <c r="D70">
        <v>3</v>
      </c>
      <c r="E70">
        <v>2026</v>
      </c>
      <c r="F70" t="s">
        <v>15</v>
      </c>
      <c r="G70" t="s">
        <v>25</v>
      </c>
      <c r="I70" s="3">
        <v>1744</v>
      </c>
      <c r="J70" s="3" t="s">
        <v>96</v>
      </c>
      <c r="K70" s="3">
        <v>1348</v>
      </c>
    </row>
    <row r="71" spans="1:11" x14ac:dyDescent="0.3">
      <c r="A71" t="s">
        <v>68</v>
      </c>
      <c r="B71" t="s">
        <v>9</v>
      </c>
      <c r="C71" t="s">
        <v>10</v>
      </c>
      <c r="D71">
        <v>3</v>
      </c>
      <c r="E71">
        <v>2026</v>
      </c>
      <c r="F71" t="s">
        <v>20</v>
      </c>
      <c r="G71" t="s">
        <v>31</v>
      </c>
      <c r="I71" s="3">
        <f>1797+30</f>
        <v>1827</v>
      </c>
      <c r="J71" s="3" t="s">
        <v>96</v>
      </c>
      <c r="K71" s="3">
        <v>1940</v>
      </c>
    </row>
    <row r="72" spans="1:11" x14ac:dyDescent="0.3">
      <c r="A72" t="s">
        <v>68</v>
      </c>
      <c r="B72" t="s">
        <v>9</v>
      </c>
      <c r="C72" t="s">
        <v>13</v>
      </c>
      <c r="D72">
        <v>3</v>
      </c>
      <c r="E72">
        <v>2026</v>
      </c>
      <c r="F72" s="2" t="s">
        <v>12</v>
      </c>
      <c r="G72" s="2" t="s">
        <v>44</v>
      </c>
      <c r="H72" t="s">
        <v>94</v>
      </c>
      <c r="J72" s="3" t="s">
        <v>96</v>
      </c>
    </row>
    <row r="73" spans="1:11" x14ac:dyDescent="0.3">
      <c r="A73" t="s">
        <v>68</v>
      </c>
      <c r="B73" t="s">
        <v>9</v>
      </c>
      <c r="C73" t="s">
        <v>16</v>
      </c>
      <c r="D73">
        <v>3</v>
      </c>
      <c r="E73">
        <v>2026</v>
      </c>
      <c r="F73" t="s">
        <v>24</v>
      </c>
      <c r="G73" t="s">
        <v>11</v>
      </c>
      <c r="I73" s="3">
        <v>1822</v>
      </c>
      <c r="J73" s="3" t="s">
        <v>96</v>
      </c>
      <c r="K73" s="3">
        <v>1782</v>
      </c>
    </row>
    <row r="74" spans="1:11" x14ac:dyDescent="0.3">
      <c r="A74" t="s">
        <v>69</v>
      </c>
      <c r="B74" t="s">
        <v>19</v>
      </c>
      <c r="C74" t="s">
        <v>16</v>
      </c>
      <c r="D74">
        <v>4</v>
      </c>
      <c r="E74">
        <v>2026</v>
      </c>
      <c r="F74" t="s">
        <v>34</v>
      </c>
      <c r="G74" t="s">
        <v>21</v>
      </c>
      <c r="I74" s="3">
        <f>843+861</f>
        <v>1704</v>
      </c>
      <c r="J74" s="3" t="s">
        <v>96</v>
      </c>
      <c r="K74" s="3">
        <f>959+875</f>
        <v>1834</v>
      </c>
    </row>
    <row r="75" spans="1:11" x14ac:dyDescent="0.3">
      <c r="A75" t="s">
        <v>70</v>
      </c>
      <c r="B75" t="s">
        <v>23</v>
      </c>
      <c r="C75" t="s">
        <v>13</v>
      </c>
      <c r="D75">
        <v>4</v>
      </c>
      <c r="E75">
        <v>2026</v>
      </c>
      <c r="F75" t="s">
        <v>15</v>
      </c>
      <c r="G75" t="s">
        <v>26</v>
      </c>
      <c r="H75" s="20" t="s">
        <v>255</v>
      </c>
      <c r="I75" s="3">
        <f>895+875</f>
        <v>1770</v>
      </c>
      <c r="J75" s="3" t="s">
        <v>96</v>
      </c>
      <c r="K75" s="3">
        <f>1031+930</f>
        <v>1961</v>
      </c>
    </row>
    <row r="76" spans="1:11" x14ac:dyDescent="0.3">
      <c r="A76" t="s">
        <v>70</v>
      </c>
      <c r="B76" t="s">
        <v>23</v>
      </c>
      <c r="C76" t="s">
        <v>16</v>
      </c>
      <c r="D76">
        <v>4</v>
      </c>
      <c r="E76">
        <v>2026</v>
      </c>
      <c r="F76" s="2" t="s">
        <v>35</v>
      </c>
      <c r="G76" s="2" t="s">
        <v>27</v>
      </c>
      <c r="H76" t="s">
        <v>94</v>
      </c>
      <c r="J76" s="3" t="s">
        <v>96</v>
      </c>
    </row>
    <row r="77" spans="1:11" x14ac:dyDescent="0.3">
      <c r="A77" t="s">
        <v>71</v>
      </c>
      <c r="B77" t="s">
        <v>9</v>
      </c>
      <c r="C77" t="s">
        <v>29</v>
      </c>
      <c r="D77">
        <v>4</v>
      </c>
      <c r="E77">
        <v>2026</v>
      </c>
      <c r="F77" s="2" t="s">
        <v>31</v>
      </c>
      <c r="G77" s="2" t="s">
        <v>24</v>
      </c>
      <c r="H77" t="s">
        <v>94</v>
      </c>
      <c r="J77" s="3" t="s">
        <v>96</v>
      </c>
    </row>
    <row r="78" spans="1:11" x14ac:dyDescent="0.3">
      <c r="A78" t="s">
        <v>71</v>
      </c>
      <c r="B78" t="s">
        <v>9</v>
      </c>
      <c r="C78" t="s">
        <v>32</v>
      </c>
      <c r="D78">
        <v>4</v>
      </c>
      <c r="E78">
        <v>2026</v>
      </c>
      <c r="F78" s="2" t="s">
        <v>11</v>
      </c>
      <c r="G78" s="2" t="s">
        <v>30</v>
      </c>
      <c r="H78" t="s">
        <v>94</v>
      </c>
      <c r="J78" s="3" t="s">
        <v>96</v>
      </c>
    </row>
    <row r="79" spans="1:11" x14ac:dyDescent="0.3">
      <c r="A79" t="s">
        <v>72</v>
      </c>
      <c r="B79" t="s">
        <v>19</v>
      </c>
      <c r="C79" t="s">
        <v>16</v>
      </c>
      <c r="D79">
        <v>5</v>
      </c>
      <c r="E79">
        <v>2026</v>
      </c>
      <c r="F79" s="2" t="s">
        <v>44</v>
      </c>
      <c r="G79" s="2" t="s">
        <v>14</v>
      </c>
      <c r="H79" t="s">
        <v>94</v>
      </c>
      <c r="J79" s="3" t="s">
        <v>96</v>
      </c>
    </row>
    <row r="80" spans="1:11" x14ac:dyDescent="0.3">
      <c r="A80" t="s">
        <v>73</v>
      </c>
      <c r="B80" t="s">
        <v>23</v>
      </c>
      <c r="C80" t="s">
        <v>13</v>
      </c>
      <c r="D80">
        <v>5</v>
      </c>
      <c r="E80">
        <v>2026</v>
      </c>
      <c r="F80" s="2" t="s">
        <v>20</v>
      </c>
      <c r="G80" s="2" t="s">
        <v>26</v>
      </c>
      <c r="H80" t="s">
        <v>94</v>
      </c>
      <c r="J80" s="3" t="s">
        <v>96</v>
      </c>
    </row>
    <row r="81" spans="1:11" x14ac:dyDescent="0.3">
      <c r="A81" t="s">
        <v>73</v>
      </c>
      <c r="B81" t="s">
        <v>23</v>
      </c>
      <c r="C81" t="s">
        <v>16</v>
      </c>
      <c r="D81">
        <v>5</v>
      </c>
      <c r="E81">
        <v>2026</v>
      </c>
      <c r="F81" t="s">
        <v>27</v>
      </c>
      <c r="G81" t="s">
        <v>34</v>
      </c>
      <c r="I81" s="3">
        <f>1020+906</f>
        <v>1926</v>
      </c>
      <c r="J81" s="3" t="s">
        <v>96</v>
      </c>
      <c r="K81" s="3">
        <f>754+796+50</f>
        <v>1600</v>
      </c>
    </row>
    <row r="82" spans="1:11" x14ac:dyDescent="0.3">
      <c r="A82" t="s">
        <v>74</v>
      </c>
      <c r="B82" t="s">
        <v>9</v>
      </c>
      <c r="C82" t="s">
        <v>10</v>
      </c>
      <c r="D82">
        <v>5</v>
      </c>
      <c r="E82">
        <v>2026</v>
      </c>
      <c r="F82" s="2" t="s">
        <v>21</v>
      </c>
      <c r="G82" s="2" t="s">
        <v>44</v>
      </c>
      <c r="H82" s="20" t="s">
        <v>260</v>
      </c>
      <c r="I82" s="3">
        <v>1878</v>
      </c>
      <c r="J82" s="3" t="s">
        <v>96</v>
      </c>
      <c r="K82" s="3">
        <f>1669+50</f>
        <v>1719</v>
      </c>
    </row>
    <row r="83" spans="1:11" x14ac:dyDescent="0.3">
      <c r="A83" t="s">
        <v>74</v>
      </c>
      <c r="B83" t="s">
        <v>9</v>
      </c>
      <c r="C83" t="s">
        <v>13</v>
      </c>
      <c r="D83">
        <v>5</v>
      </c>
      <c r="E83">
        <v>2026</v>
      </c>
      <c r="F83" t="s">
        <v>24</v>
      </c>
      <c r="G83" t="s">
        <v>30</v>
      </c>
      <c r="I83" s="3">
        <v>1811</v>
      </c>
      <c r="J83" s="3" t="s">
        <v>96</v>
      </c>
      <c r="K83" s="3">
        <v>1407</v>
      </c>
    </row>
    <row r="84" spans="1:11" x14ac:dyDescent="0.3">
      <c r="A84" t="s">
        <v>74</v>
      </c>
      <c r="B84" t="s">
        <v>9</v>
      </c>
      <c r="C84" t="s">
        <v>16</v>
      </c>
      <c r="D84">
        <v>5</v>
      </c>
      <c r="E84">
        <v>2026</v>
      </c>
      <c r="F84" t="s">
        <v>35</v>
      </c>
      <c r="G84" t="s">
        <v>25</v>
      </c>
      <c r="I84" s="3">
        <v>1789</v>
      </c>
      <c r="J84" s="3" t="s">
        <v>96</v>
      </c>
      <c r="K84" s="3">
        <v>1506</v>
      </c>
    </row>
    <row r="85" spans="1:11" x14ac:dyDescent="0.3">
      <c r="A85" t="s">
        <v>75</v>
      </c>
      <c r="B85" t="s">
        <v>19</v>
      </c>
      <c r="C85" t="s">
        <v>16</v>
      </c>
      <c r="D85">
        <v>6</v>
      </c>
      <c r="E85">
        <v>2026</v>
      </c>
      <c r="F85" t="s">
        <v>15</v>
      </c>
      <c r="G85" t="s">
        <v>44</v>
      </c>
      <c r="I85" s="3">
        <v>1808</v>
      </c>
      <c r="J85" s="3" t="s">
        <v>96</v>
      </c>
      <c r="K85" s="3">
        <f>1469+90</f>
        <v>1559</v>
      </c>
    </row>
    <row r="86" spans="1:11" x14ac:dyDescent="0.3">
      <c r="A86" t="s">
        <v>76</v>
      </c>
      <c r="B86" t="s">
        <v>23</v>
      </c>
      <c r="C86" t="s">
        <v>13</v>
      </c>
      <c r="D86">
        <v>6</v>
      </c>
      <c r="E86">
        <v>2026</v>
      </c>
      <c r="F86" t="s">
        <v>27</v>
      </c>
      <c r="G86" t="s">
        <v>11</v>
      </c>
      <c r="I86" s="3">
        <f>1775+10</f>
        <v>1785</v>
      </c>
      <c r="J86" s="3" t="s">
        <v>96</v>
      </c>
      <c r="K86" s="3">
        <v>1619</v>
      </c>
    </row>
    <row r="87" spans="1:11" x14ac:dyDescent="0.3">
      <c r="A87" t="s">
        <v>76</v>
      </c>
      <c r="B87" t="s">
        <v>23</v>
      </c>
      <c r="C87" t="s">
        <v>16</v>
      </c>
      <c r="D87">
        <v>6</v>
      </c>
      <c r="E87">
        <v>2026</v>
      </c>
      <c r="F87" t="s">
        <v>26</v>
      </c>
      <c r="G87" t="s">
        <v>24</v>
      </c>
      <c r="I87" s="3">
        <v>1810</v>
      </c>
      <c r="J87" s="3" t="s">
        <v>96</v>
      </c>
      <c r="K87" s="3">
        <v>1910</v>
      </c>
    </row>
    <row r="88" spans="1:11" x14ac:dyDescent="0.3">
      <c r="A88" t="s">
        <v>77</v>
      </c>
      <c r="B88" t="s">
        <v>9</v>
      </c>
      <c r="C88" t="s">
        <v>29</v>
      </c>
      <c r="D88">
        <v>6</v>
      </c>
      <c r="E88">
        <v>2026</v>
      </c>
      <c r="F88" t="s">
        <v>30</v>
      </c>
      <c r="G88" t="s">
        <v>14</v>
      </c>
      <c r="I88" s="3">
        <f>830+747+20</f>
        <v>1597</v>
      </c>
      <c r="J88" s="3" t="s">
        <v>96</v>
      </c>
      <c r="K88" s="3">
        <f>815+853</f>
        <v>1668</v>
      </c>
    </row>
    <row r="89" spans="1:11" x14ac:dyDescent="0.3">
      <c r="A89" t="s">
        <v>77</v>
      </c>
      <c r="B89" t="s">
        <v>9</v>
      </c>
      <c r="C89" t="s">
        <v>32</v>
      </c>
      <c r="D89">
        <v>6</v>
      </c>
      <c r="E89">
        <v>2026</v>
      </c>
      <c r="F89" t="s">
        <v>35</v>
      </c>
      <c r="G89" t="s">
        <v>31</v>
      </c>
      <c r="I89" s="3">
        <v>1842</v>
      </c>
      <c r="J89" s="3" t="s">
        <v>96</v>
      </c>
      <c r="K89" s="3">
        <v>1756</v>
      </c>
    </row>
    <row r="90" spans="1:11" x14ac:dyDescent="0.3">
      <c r="A90" t="s">
        <v>78</v>
      </c>
      <c r="B90" t="s">
        <v>19</v>
      </c>
      <c r="C90" t="s">
        <v>16</v>
      </c>
      <c r="D90">
        <v>7</v>
      </c>
      <c r="E90">
        <v>2026</v>
      </c>
      <c r="F90" t="s">
        <v>25</v>
      </c>
      <c r="G90" t="s">
        <v>44</v>
      </c>
      <c r="I90" s="3">
        <v>1706</v>
      </c>
      <c r="J90" s="3" t="s">
        <v>96</v>
      </c>
      <c r="K90" s="3">
        <v>1531</v>
      </c>
    </row>
    <row r="91" spans="1:11" x14ac:dyDescent="0.3">
      <c r="A91" t="s">
        <v>79</v>
      </c>
      <c r="B91" t="s">
        <v>23</v>
      </c>
      <c r="C91" t="s">
        <v>13</v>
      </c>
      <c r="D91">
        <v>7</v>
      </c>
      <c r="E91">
        <v>2026</v>
      </c>
      <c r="F91" t="s">
        <v>26</v>
      </c>
      <c r="G91" t="s">
        <v>21</v>
      </c>
      <c r="I91" s="3">
        <v>1799</v>
      </c>
      <c r="J91" s="3" t="s">
        <v>96</v>
      </c>
      <c r="K91" s="14">
        <v>2007</v>
      </c>
    </row>
    <row r="92" spans="1:11" x14ac:dyDescent="0.3">
      <c r="A92" t="s">
        <v>79</v>
      </c>
      <c r="B92" t="s">
        <v>23</v>
      </c>
      <c r="C92" t="s">
        <v>16</v>
      </c>
      <c r="D92">
        <v>7</v>
      </c>
      <c r="E92">
        <v>2026</v>
      </c>
      <c r="F92" t="s">
        <v>20</v>
      </c>
      <c r="G92" s="2" t="s">
        <v>26</v>
      </c>
      <c r="H92" t="s">
        <v>274</v>
      </c>
      <c r="I92" s="3">
        <f>1492+30</f>
        <v>1522</v>
      </c>
      <c r="J92" s="3" t="s">
        <v>96</v>
      </c>
      <c r="K92" s="3">
        <v>1783</v>
      </c>
    </row>
    <row r="93" spans="1:11" x14ac:dyDescent="0.3">
      <c r="A93" s="22">
        <v>46430</v>
      </c>
      <c r="B93" s="2" t="s">
        <v>189</v>
      </c>
      <c r="C93" s="24">
        <v>0.83333333333333337</v>
      </c>
      <c r="D93" s="2">
        <v>7</v>
      </c>
      <c r="E93" s="2">
        <v>2026</v>
      </c>
      <c r="F93" s="2" t="s">
        <v>14</v>
      </c>
      <c r="G93" s="2" t="s">
        <v>34</v>
      </c>
      <c r="H93" t="s">
        <v>273</v>
      </c>
      <c r="I93" s="3">
        <v>1722</v>
      </c>
      <c r="J93" s="3" t="s">
        <v>96</v>
      </c>
      <c r="K93" s="3">
        <v>1791</v>
      </c>
    </row>
    <row r="94" spans="1:11" x14ac:dyDescent="0.3">
      <c r="A94" t="s">
        <v>80</v>
      </c>
      <c r="B94" t="s">
        <v>9</v>
      </c>
      <c r="C94" t="s">
        <v>10</v>
      </c>
      <c r="D94">
        <v>7</v>
      </c>
      <c r="E94">
        <v>2026</v>
      </c>
      <c r="F94" t="s">
        <v>34</v>
      </c>
      <c r="G94" t="s">
        <v>30</v>
      </c>
      <c r="I94" s="3">
        <v>1822</v>
      </c>
      <c r="J94" s="3" t="s">
        <v>96</v>
      </c>
      <c r="K94" s="3">
        <f>696+773+30+20</f>
        <v>1519</v>
      </c>
    </row>
    <row r="95" spans="1:11" x14ac:dyDescent="0.3">
      <c r="A95" t="s">
        <v>80</v>
      </c>
      <c r="B95" t="s">
        <v>9</v>
      </c>
      <c r="C95" t="s">
        <v>13</v>
      </c>
      <c r="D95">
        <v>7</v>
      </c>
      <c r="E95">
        <v>2026</v>
      </c>
      <c r="F95" t="s">
        <v>14</v>
      </c>
      <c r="G95" t="s">
        <v>31</v>
      </c>
      <c r="I95" s="3">
        <f>978+886</f>
        <v>1864</v>
      </c>
      <c r="J95" s="3" t="s">
        <v>96</v>
      </c>
      <c r="K95" s="3">
        <f>835+895</f>
        <v>1730</v>
      </c>
    </row>
    <row r="96" spans="1:11" x14ac:dyDescent="0.3">
      <c r="A96" t="s">
        <v>80</v>
      </c>
      <c r="B96" t="s">
        <v>9</v>
      </c>
      <c r="C96" t="s">
        <v>16</v>
      </c>
      <c r="D96">
        <v>7</v>
      </c>
      <c r="E96">
        <v>2026</v>
      </c>
      <c r="F96" t="s">
        <v>17</v>
      </c>
      <c r="J96" s="3" t="s">
        <v>96</v>
      </c>
    </row>
    <row r="97" spans="1:22" x14ac:dyDescent="0.3">
      <c r="A97" t="s">
        <v>81</v>
      </c>
      <c r="B97" t="s">
        <v>19</v>
      </c>
      <c r="C97" t="s">
        <v>16</v>
      </c>
      <c r="D97">
        <v>8</v>
      </c>
      <c r="E97">
        <v>2026</v>
      </c>
      <c r="F97" t="s">
        <v>44</v>
      </c>
      <c r="G97" t="s">
        <v>24</v>
      </c>
      <c r="I97" s="3">
        <f>780+815+60</f>
        <v>1655</v>
      </c>
      <c r="J97" s="3" t="s">
        <v>96</v>
      </c>
      <c r="K97" s="3">
        <v>1878</v>
      </c>
    </row>
    <row r="98" spans="1:22" x14ac:dyDescent="0.3">
      <c r="A98" t="s">
        <v>82</v>
      </c>
      <c r="B98" t="s">
        <v>23</v>
      </c>
      <c r="C98" t="s">
        <v>13</v>
      </c>
      <c r="D98">
        <v>8</v>
      </c>
      <c r="E98">
        <v>2026</v>
      </c>
      <c r="F98" t="s">
        <v>25</v>
      </c>
      <c r="G98" t="s">
        <v>26</v>
      </c>
      <c r="I98" s="3">
        <v>1498</v>
      </c>
      <c r="J98" s="3" t="s">
        <v>96</v>
      </c>
      <c r="K98" s="3">
        <v>1818</v>
      </c>
    </row>
    <row r="99" spans="1:22" x14ac:dyDescent="0.3">
      <c r="A99" t="s">
        <v>82</v>
      </c>
      <c r="B99" t="s">
        <v>23</v>
      </c>
      <c r="C99" t="s">
        <v>16</v>
      </c>
      <c r="D99">
        <v>8</v>
      </c>
      <c r="E99">
        <v>2026</v>
      </c>
      <c r="F99" t="s">
        <v>11</v>
      </c>
      <c r="G99" t="s">
        <v>34</v>
      </c>
      <c r="I99" s="3">
        <v>1791</v>
      </c>
      <c r="J99" s="3" t="s">
        <v>96</v>
      </c>
      <c r="K99" s="3">
        <v>1828</v>
      </c>
      <c r="T99" s="3"/>
      <c r="U99" s="3"/>
      <c r="V99" s="3"/>
    </row>
    <row r="100" spans="1:22" x14ac:dyDescent="0.3">
      <c r="A100" t="s">
        <v>83</v>
      </c>
      <c r="B100" t="s">
        <v>9</v>
      </c>
      <c r="C100" t="s">
        <v>29</v>
      </c>
      <c r="D100">
        <v>8</v>
      </c>
      <c r="E100">
        <v>2026</v>
      </c>
      <c r="F100" s="2" t="s">
        <v>30</v>
      </c>
      <c r="G100" s="2" t="s">
        <v>20</v>
      </c>
      <c r="H100" t="s">
        <v>287</v>
      </c>
      <c r="J100" s="3" t="s">
        <v>96</v>
      </c>
    </row>
    <row r="101" spans="1:22" x14ac:dyDescent="0.3">
      <c r="A101" t="s">
        <v>83</v>
      </c>
      <c r="B101" t="s">
        <v>9</v>
      </c>
      <c r="C101" t="s">
        <v>32</v>
      </c>
      <c r="D101">
        <v>8</v>
      </c>
      <c r="E101">
        <v>2026</v>
      </c>
      <c r="F101" t="s">
        <v>31</v>
      </c>
      <c r="G101" t="s">
        <v>15</v>
      </c>
      <c r="I101" s="3">
        <v>1724</v>
      </c>
      <c r="J101" s="3" t="s">
        <v>96</v>
      </c>
      <c r="K101" s="3">
        <v>1686</v>
      </c>
    </row>
    <row r="102" spans="1:22" x14ac:dyDescent="0.3">
      <c r="A102" t="s">
        <v>84</v>
      </c>
      <c r="B102" t="s">
        <v>19</v>
      </c>
      <c r="C102" t="s">
        <v>16</v>
      </c>
      <c r="D102">
        <v>9</v>
      </c>
      <c r="E102">
        <v>2026</v>
      </c>
      <c r="F102" t="s">
        <v>44</v>
      </c>
      <c r="G102" t="s">
        <v>35</v>
      </c>
      <c r="I102" s="3">
        <f>1486+80</f>
        <v>1566</v>
      </c>
      <c r="J102" s="3" t="s">
        <v>96</v>
      </c>
      <c r="K102" s="3">
        <v>1671</v>
      </c>
    </row>
    <row r="103" spans="1:22" x14ac:dyDescent="0.3">
      <c r="A103" t="s">
        <v>85</v>
      </c>
      <c r="B103" t="s">
        <v>23</v>
      </c>
      <c r="C103" t="s">
        <v>13</v>
      </c>
      <c r="D103">
        <v>9</v>
      </c>
      <c r="E103">
        <v>2026</v>
      </c>
      <c r="F103" t="s">
        <v>27</v>
      </c>
      <c r="G103" t="s">
        <v>15</v>
      </c>
      <c r="I103" s="3">
        <f>935+824+10</f>
        <v>1769</v>
      </c>
      <c r="J103" s="3" t="s">
        <v>96</v>
      </c>
      <c r="K103" s="3">
        <f>923+877</f>
        <v>1800</v>
      </c>
    </row>
    <row r="104" spans="1:22" x14ac:dyDescent="0.3">
      <c r="A104" t="s">
        <v>85</v>
      </c>
      <c r="B104" t="s">
        <v>23</v>
      </c>
      <c r="C104" t="s">
        <v>16</v>
      </c>
      <c r="D104">
        <v>9</v>
      </c>
      <c r="E104">
        <v>2026</v>
      </c>
      <c r="F104" t="s">
        <v>21</v>
      </c>
      <c r="G104" t="s">
        <v>30</v>
      </c>
      <c r="I104" s="3">
        <v>1832</v>
      </c>
      <c r="J104" s="3" t="s">
        <v>96</v>
      </c>
      <c r="K104" s="3">
        <f>1487+10</f>
        <v>1497</v>
      </c>
    </row>
    <row r="105" spans="1:22" x14ac:dyDescent="0.3">
      <c r="A105" t="s">
        <v>86</v>
      </c>
      <c r="B105" t="s">
        <v>9</v>
      </c>
      <c r="C105" t="s">
        <v>10</v>
      </c>
      <c r="D105">
        <v>9</v>
      </c>
      <c r="E105">
        <v>2026</v>
      </c>
      <c r="F105" t="s">
        <v>25</v>
      </c>
      <c r="G105" t="s">
        <v>34</v>
      </c>
      <c r="I105" s="3">
        <f>639+672</f>
        <v>1311</v>
      </c>
      <c r="J105" s="3" t="s">
        <v>96</v>
      </c>
      <c r="K105" s="3">
        <f>779+830+40</f>
        <v>1649</v>
      </c>
    </row>
    <row r="106" spans="1:22" x14ac:dyDescent="0.3">
      <c r="A106" t="s">
        <v>86</v>
      </c>
      <c r="B106" t="s">
        <v>9</v>
      </c>
      <c r="C106" t="s">
        <v>13</v>
      </c>
      <c r="D106">
        <v>9</v>
      </c>
      <c r="E106">
        <v>2026</v>
      </c>
      <c r="F106" t="s">
        <v>11</v>
      </c>
      <c r="G106" t="s">
        <v>30</v>
      </c>
      <c r="I106" s="3">
        <v>1797</v>
      </c>
      <c r="J106" s="3" t="s">
        <v>96</v>
      </c>
      <c r="K106" s="3">
        <f>1574+10</f>
        <v>1584</v>
      </c>
    </row>
    <row r="107" spans="1:22" x14ac:dyDescent="0.3">
      <c r="A107" t="s">
        <v>86</v>
      </c>
      <c r="B107" t="s">
        <v>9</v>
      </c>
      <c r="C107" t="s">
        <v>16</v>
      </c>
      <c r="D107">
        <v>9</v>
      </c>
      <c r="E107">
        <v>2026</v>
      </c>
      <c r="F107" t="s">
        <v>15</v>
      </c>
      <c r="G107" t="s">
        <v>24</v>
      </c>
      <c r="I107" s="3">
        <v>1810</v>
      </c>
      <c r="J107" s="3" t="s">
        <v>96</v>
      </c>
      <c r="K107" s="3">
        <v>1779</v>
      </c>
    </row>
    <row r="108" spans="1:22" x14ac:dyDescent="0.3">
      <c r="A108" t="s">
        <v>87</v>
      </c>
      <c r="B108" t="s">
        <v>19</v>
      </c>
      <c r="C108" t="s">
        <v>16</v>
      </c>
      <c r="D108">
        <v>10</v>
      </c>
      <c r="E108">
        <v>2026</v>
      </c>
      <c r="F108" t="s">
        <v>26</v>
      </c>
      <c r="G108" t="s">
        <v>44</v>
      </c>
      <c r="I108" s="3">
        <v>1768</v>
      </c>
      <c r="J108" s="3" t="s">
        <v>96</v>
      </c>
      <c r="K108" s="3">
        <f>1583+70</f>
        <v>1653</v>
      </c>
    </row>
    <row r="109" spans="1:22" x14ac:dyDescent="0.3">
      <c r="A109" t="s">
        <v>88</v>
      </c>
      <c r="B109" t="s">
        <v>23</v>
      </c>
      <c r="C109" t="s">
        <v>13</v>
      </c>
      <c r="D109">
        <v>10</v>
      </c>
      <c r="E109">
        <v>2026</v>
      </c>
      <c r="F109" s="2" t="s">
        <v>31</v>
      </c>
      <c r="G109" s="2" t="s">
        <v>27</v>
      </c>
      <c r="H109" t="s">
        <v>318</v>
      </c>
      <c r="J109" s="3" t="s">
        <v>96</v>
      </c>
    </row>
    <row r="110" spans="1:22" x14ac:dyDescent="0.3">
      <c r="A110" t="s">
        <v>88</v>
      </c>
      <c r="B110" t="s">
        <v>23</v>
      </c>
      <c r="C110" t="s">
        <v>16</v>
      </c>
      <c r="D110">
        <v>10</v>
      </c>
      <c r="E110">
        <v>2026</v>
      </c>
      <c r="F110" t="s">
        <v>30</v>
      </c>
      <c r="G110" t="s">
        <v>25</v>
      </c>
      <c r="I110" s="3">
        <v>1534</v>
      </c>
      <c r="J110" s="3" t="s">
        <v>96</v>
      </c>
      <c r="K110" s="3">
        <v>1352</v>
      </c>
    </row>
    <row r="111" spans="1:22" x14ac:dyDescent="0.3">
      <c r="A111" s="2" t="s">
        <v>316</v>
      </c>
      <c r="B111" s="2" t="s">
        <v>189</v>
      </c>
      <c r="C111" s="24">
        <v>0.83333333333333337</v>
      </c>
      <c r="D111" s="2">
        <v>10</v>
      </c>
      <c r="E111" s="2">
        <v>2026</v>
      </c>
      <c r="F111" s="2" t="s">
        <v>44</v>
      </c>
      <c r="G111" s="2" t="s">
        <v>14</v>
      </c>
      <c r="H111" t="s">
        <v>317</v>
      </c>
      <c r="I111" s="3">
        <f>1528+60</f>
        <v>1588</v>
      </c>
      <c r="J111" s="3" t="s">
        <v>96</v>
      </c>
      <c r="K111" s="3">
        <v>1505</v>
      </c>
    </row>
    <row r="112" spans="1:22" x14ac:dyDescent="0.3">
      <c r="A112" t="s">
        <v>89</v>
      </c>
      <c r="B112" t="s">
        <v>9</v>
      </c>
      <c r="C112" t="s">
        <v>29</v>
      </c>
      <c r="D112">
        <v>10</v>
      </c>
      <c r="E112">
        <v>2026</v>
      </c>
      <c r="F112" t="s">
        <v>35</v>
      </c>
      <c r="G112" t="s">
        <v>27</v>
      </c>
      <c r="I112" s="3">
        <v>1856</v>
      </c>
      <c r="J112" s="3" t="s">
        <v>96</v>
      </c>
      <c r="K112" s="3">
        <v>1842</v>
      </c>
    </row>
    <row r="113" spans="1:11" x14ac:dyDescent="0.3">
      <c r="A113" t="s">
        <v>89</v>
      </c>
      <c r="B113" t="s">
        <v>9</v>
      </c>
      <c r="C113" t="s">
        <v>32</v>
      </c>
      <c r="D113">
        <v>10</v>
      </c>
      <c r="E113">
        <v>2026</v>
      </c>
      <c r="F113" t="s">
        <v>31</v>
      </c>
      <c r="G113" t="s">
        <v>24</v>
      </c>
      <c r="I113" s="3">
        <f>1035+934</f>
        <v>1969</v>
      </c>
      <c r="J113" s="3" t="s">
        <v>96</v>
      </c>
      <c r="K113" s="3">
        <f>919+919</f>
        <v>1838</v>
      </c>
    </row>
    <row r="114" spans="1:11" x14ac:dyDescent="0.3">
      <c r="A114" t="s">
        <v>90</v>
      </c>
      <c r="B114" t="s">
        <v>19</v>
      </c>
      <c r="C114" t="s">
        <v>16</v>
      </c>
      <c r="D114">
        <v>11</v>
      </c>
      <c r="E114">
        <v>2026</v>
      </c>
      <c r="F114" t="s">
        <v>44</v>
      </c>
      <c r="G114" t="s">
        <v>30</v>
      </c>
      <c r="I114" s="3">
        <f>1412+90</f>
        <v>1502</v>
      </c>
      <c r="J114" s="3" t="s">
        <v>96</v>
      </c>
      <c r="K114" s="3">
        <f>1616+20</f>
        <v>1636</v>
      </c>
    </row>
    <row r="115" spans="1:11" x14ac:dyDescent="0.3">
      <c r="A115" t="s">
        <v>91</v>
      </c>
      <c r="B115" t="s">
        <v>23</v>
      </c>
      <c r="C115" t="s">
        <v>13</v>
      </c>
      <c r="D115">
        <v>11</v>
      </c>
      <c r="E115">
        <v>2026</v>
      </c>
      <c r="F115" t="s">
        <v>34</v>
      </c>
      <c r="G115" t="s">
        <v>35</v>
      </c>
      <c r="I115" s="3">
        <f>808+819+20</f>
        <v>1647</v>
      </c>
      <c r="J115" s="3" t="s">
        <v>96</v>
      </c>
      <c r="K115" s="3">
        <f>842+964</f>
        <v>1806</v>
      </c>
    </row>
    <row r="116" spans="1:11" x14ac:dyDescent="0.3">
      <c r="A116" t="s">
        <v>91</v>
      </c>
      <c r="B116" t="s">
        <v>23</v>
      </c>
      <c r="C116" t="s">
        <v>16</v>
      </c>
      <c r="D116">
        <v>11</v>
      </c>
      <c r="E116">
        <v>2026</v>
      </c>
      <c r="F116" t="s">
        <v>11</v>
      </c>
      <c r="G116" t="s">
        <v>12</v>
      </c>
      <c r="I116" s="3">
        <f>775+711</f>
        <v>1486</v>
      </c>
      <c r="J116" s="3" t="s">
        <v>96</v>
      </c>
      <c r="K116" s="3">
        <f>764+787</f>
        <v>1551</v>
      </c>
    </row>
    <row r="117" spans="1:11" x14ac:dyDescent="0.3">
      <c r="A117" t="s">
        <v>92</v>
      </c>
      <c r="B117" t="s">
        <v>9</v>
      </c>
      <c r="C117" t="s">
        <v>10</v>
      </c>
      <c r="D117">
        <v>11</v>
      </c>
      <c r="E117">
        <v>2026</v>
      </c>
      <c r="F117" t="s">
        <v>17</v>
      </c>
      <c r="J117" s="3" t="s">
        <v>96</v>
      </c>
    </row>
    <row r="118" spans="1:11" x14ac:dyDescent="0.3">
      <c r="A118" t="s">
        <v>92</v>
      </c>
      <c r="B118" t="s">
        <v>9</v>
      </c>
      <c r="C118" t="s">
        <v>13</v>
      </c>
      <c r="D118">
        <v>11</v>
      </c>
      <c r="E118">
        <v>2026</v>
      </c>
      <c r="F118" t="s">
        <v>21</v>
      </c>
      <c r="G118" t="s">
        <v>31</v>
      </c>
      <c r="I118" s="3">
        <f>920+900</f>
        <v>1820</v>
      </c>
      <c r="J118" s="3" t="s">
        <v>96</v>
      </c>
      <c r="K118" s="3">
        <f>927+947</f>
        <v>1874</v>
      </c>
    </row>
    <row r="119" spans="1:11" x14ac:dyDescent="0.3">
      <c r="A119" t="s">
        <v>92</v>
      </c>
      <c r="B119" t="s">
        <v>9</v>
      </c>
      <c r="C119" t="s">
        <v>16</v>
      </c>
      <c r="D119">
        <v>11</v>
      </c>
      <c r="E119">
        <v>2026</v>
      </c>
      <c r="F119" t="s">
        <v>30</v>
      </c>
      <c r="G119" t="s">
        <v>20</v>
      </c>
      <c r="H119" s="20" t="s">
        <v>333</v>
      </c>
      <c r="J119" s="3" t="s">
        <v>96</v>
      </c>
    </row>
    <row r="120" spans="1:11" x14ac:dyDescent="0.3">
      <c r="A120" t="s">
        <v>93</v>
      </c>
      <c r="B120" t="s">
        <v>19</v>
      </c>
      <c r="C120" t="s">
        <v>16</v>
      </c>
      <c r="D120">
        <v>12</v>
      </c>
      <c r="E120">
        <v>2026</v>
      </c>
      <c r="F120" s="2" t="s">
        <v>20</v>
      </c>
      <c r="G120" s="2" t="s">
        <v>27</v>
      </c>
      <c r="H120" t="s">
        <v>335</v>
      </c>
      <c r="I120" s="3">
        <f>825+845+10</f>
        <v>1680</v>
      </c>
      <c r="J120" s="3" t="s">
        <v>96</v>
      </c>
      <c r="K120" s="3">
        <f>839+865</f>
        <v>1704</v>
      </c>
    </row>
    <row r="121" spans="1:11" x14ac:dyDescent="0.3">
      <c r="A121" s="23">
        <v>46099</v>
      </c>
      <c r="B121" t="s">
        <v>23</v>
      </c>
      <c r="C121" t="s">
        <v>13</v>
      </c>
      <c r="D121">
        <v>12</v>
      </c>
      <c r="E121">
        <v>2026</v>
      </c>
      <c r="F121" t="s">
        <v>31</v>
      </c>
      <c r="G121" t="s">
        <v>27</v>
      </c>
      <c r="I121" s="3">
        <v>1789</v>
      </c>
      <c r="J121" s="3" t="s">
        <v>96</v>
      </c>
      <c r="K121" s="3">
        <v>1829</v>
      </c>
    </row>
    <row r="122" spans="1:11" x14ac:dyDescent="0.3">
      <c r="A122" s="23">
        <v>46099</v>
      </c>
      <c r="B122" t="s">
        <v>23</v>
      </c>
      <c r="C122" t="s">
        <v>16</v>
      </c>
      <c r="D122">
        <v>12</v>
      </c>
      <c r="E122">
        <v>2026</v>
      </c>
      <c r="F122" t="s">
        <v>17</v>
      </c>
      <c r="J122" s="3" t="s">
        <v>96</v>
      </c>
    </row>
    <row r="123" spans="1:11" x14ac:dyDescent="0.3">
      <c r="A123" s="23">
        <v>46103</v>
      </c>
      <c r="B123" t="s">
        <v>9</v>
      </c>
      <c r="C123" t="s">
        <v>29</v>
      </c>
      <c r="D123">
        <v>12</v>
      </c>
      <c r="E123">
        <v>2026</v>
      </c>
      <c r="F123" t="s">
        <v>334</v>
      </c>
      <c r="G123" t="s">
        <v>334</v>
      </c>
      <c r="J123" s="3" t="s">
        <v>96</v>
      </c>
    </row>
    <row r="124" spans="1:11" x14ac:dyDescent="0.3">
      <c r="A124" s="23">
        <v>46103</v>
      </c>
      <c r="B124" t="s">
        <v>9</v>
      </c>
      <c r="C124" t="s">
        <v>32</v>
      </c>
      <c r="D124">
        <v>12</v>
      </c>
      <c r="E124">
        <v>2026</v>
      </c>
      <c r="F124" t="s">
        <v>12</v>
      </c>
      <c r="G124" t="s">
        <v>44</v>
      </c>
      <c r="I124" s="3">
        <f>781+924</f>
        <v>1705</v>
      </c>
      <c r="J124" s="3" t="s">
        <v>96</v>
      </c>
      <c r="K124" s="3">
        <v>1539</v>
      </c>
    </row>
    <row r="125" spans="1:11" x14ac:dyDescent="0.3">
      <c r="A125" s="23">
        <v>46104</v>
      </c>
      <c r="B125" t="s">
        <v>19</v>
      </c>
      <c r="C125" s="25">
        <v>0.83333333333333337</v>
      </c>
      <c r="D125">
        <v>13</v>
      </c>
      <c r="E125">
        <v>2026</v>
      </c>
      <c r="F125" t="s">
        <v>31</v>
      </c>
      <c r="G125" t="s">
        <v>34</v>
      </c>
      <c r="I125" s="3">
        <v>1848</v>
      </c>
      <c r="J125" s="3" t="s">
        <v>96</v>
      </c>
      <c r="K125" s="3">
        <v>1892</v>
      </c>
    </row>
    <row r="126" spans="1:11" x14ac:dyDescent="0.3">
      <c r="A126" s="23">
        <v>46110</v>
      </c>
      <c r="B126" t="s">
        <v>9</v>
      </c>
      <c r="C126" s="25">
        <v>0.75</v>
      </c>
      <c r="D126">
        <v>13</v>
      </c>
      <c r="E126">
        <v>2026</v>
      </c>
      <c r="F126" t="s">
        <v>30</v>
      </c>
      <c r="G126" t="s">
        <v>31</v>
      </c>
      <c r="J126" s="3" t="s">
        <v>96</v>
      </c>
    </row>
    <row r="127" spans="1:11" x14ac:dyDescent="0.3">
      <c r="A127" s="23"/>
      <c r="C127" s="25"/>
    </row>
    <row r="128" spans="1:11" x14ac:dyDescent="0.3">
      <c r="A128" s="23">
        <v>46111</v>
      </c>
      <c r="B128" t="s">
        <v>19</v>
      </c>
      <c r="C128" s="25">
        <v>0.83333333333333337</v>
      </c>
      <c r="D128">
        <v>14</v>
      </c>
      <c r="E128" t="s">
        <v>373</v>
      </c>
      <c r="F128" t="s">
        <v>367</v>
      </c>
      <c r="G128" t="s">
        <v>368</v>
      </c>
      <c r="I128" s="3">
        <v>2</v>
      </c>
      <c r="J128" s="3" t="s">
        <v>96</v>
      </c>
      <c r="K128" s="3">
        <v>1</v>
      </c>
    </row>
    <row r="129" spans="1:11" x14ac:dyDescent="0.3">
      <c r="A129" s="23">
        <v>46113</v>
      </c>
      <c r="B129" t="s">
        <v>23</v>
      </c>
      <c r="C129" s="25">
        <v>0.83333333333333337</v>
      </c>
      <c r="D129">
        <v>14</v>
      </c>
      <c r="E129" t="s">
        <v>374</v>
      </c>
      <c r="F129" t="s">
        <v>26</v>
      </c>
      <c r="G129" s="25" t="s">
        <v>11</v>
      </c>
      <c r="I129" s="3">
        <v>2</v>
      </c>
      <c r="J129" s="3" t="s">
        <v>96</v>
      </c>
      <c r="K129" s="3">
        <v>0</v>
      </c>
    </row>
    <row r="130" spans="1:11" x14ac:dyDescent="0.3">
      <c r="A130" s="23">
        <v>46120</v>
      </c>
      <c r="B130" t="s">
        <v>23</v>
      </c>
      <c r="C130" s="25">
        <v>0.75</v>
      </c>
      <c r="D130">
        <v>15</v>
      </c>
      <c r="E130" t="s">
        <v>377</v>
      </c>
      <c r="F130" t="s">
        <v>27</v>
      </c>
      <c r="G130" s="25" t="s">
        <v>12</v>
      </c>
      <c r="I130" s="3">
        <v>2</v>
      </c>
      <c r="J130" s="3" t="s">
        <v>96</v>
      </c>
      <c r="K130" s="3">
        <v>1</v>
      </c>
    </row>
    <row r="131" spans="1:11" x14ac:dyDescent="0.3">
      <c r="A131" s="23">
        <v>46120</v>
      </c>
      <c r="B131" t="s">
        <v>23</v>
      </c>
      <c r="C131" s="25">
        <v>0.83333333333333337</v>
      </c>
      <c r="D131">
        <v>15</v>
      </c>
      <c r="E131" t="s">
        <v>379</v>
      </c>
      <c r="F131" t="s">
        <v>35</v>
      </c>
      <c r="G131" s="25" t="s">
        <v>25</v>
      </c>
      <c r="I131" s="3">
        <v>2</v>
      </c>
      <c r="J131" s="3" t="s">
        <v>96</v>
      </c>
      <c r="K131" s="3">
        <v>0</v>
      </c>
    </row>
    <row r="132" spans="1:11" x14ac:dyDescent="0.3">
      <c r="A132" s="23">
        <v>46121</v>
      </c>
      <c r="B132" t="s">
        <v>189</v>
      </c>
      <c r="C132" s="25">
        <v>0.83333333333333337</v>
      </c>
      <c r="D132">
        <v>15</v>
      </c>
      <c r="E132" t="s">
        <v>378</v>
      </c>
      <c r="F132" t="s">
        <v>14</v>
      </c>
      <c r="G132" s="25" t="s">
        <v>20</v>
      </c>
      <c r="I132" s="3">
        <v>1</v>
      </c>
      <c r="J132" s="3" t="s">
        <v>96</v>
      </c>
      <c r="K132" s="3">
        <v>2</v>
      </c>
    </row>
    <row r="133" spans="1:11" x14ac:dyDescent="0.3">
      <c r="A133" s="23">
        <v>46122</v>
      </c>
      <c r="B133" t="s">
        <v>405</v>
      </c>
      <c r="C133" s="25">
        <v>0.83333333333333337</v>
      </c>
      <c r="D133">
        <v>15</v>
      </c>
      <c r="E133" t="s">
        <v>375</v>
      </c>
      <c r="F133" t="s">
        <v>393</v>
      </c>
      <c r="G133" s="25" t="s">
        <v>30</v>
      </c>
      <c r="I133" s="3">
        <v>2</v>
      </c>
      <c r="J133" s="3" t="s">
        <v>96</v>
      </c>
      <c r="K133" s="3">
        <v>0</v>
      </c>
    </row>
    <row r="134" spans="1:11" x14ac:dyDescent="0.3">
      <c r="A134" s="23">
        <v>46124</v>
      </c>
      <c r="B134" t="s">
        <v>9</v>
      </c>
      <c r="C134" s="25">
        <v>0.72916666666666663</v>
      </c>
      <c r="D134">
        <v>15</v>
      </c>
      <c r="E134" t="s">
        <v>376</v>
      </c>
      <c r="F134" t="s">
        <v>369</v>
      </c>
      <c r="G134" s="25" t="s">
        <v>370</v>
      </c>
      <c r="I134" s="3">
        <v>2</v>
      </c>
      <c r="J134" s="3" t="s">
        <v>96</v>
      </c>
      <c r="K134" s="3">
        <v>0</v>
      </c>
    </row>
    <row r="135" spans="1:11" x14ac:dyDescent="0.3">
      <c r="A135" s="23">
        <v>46124</v>
      </c>
      <c r="B135" t="s">
        <v>9</v>
      </c>
      <c r="C135" t="s">
        <v>16</v>
      </c>
      <c r="D135">
        <v>15</v>
      </c>
      <c r="E135" t="s">
        <v>380</v>
      </c>
      <c r="F135" t="s">
        <v>367</v>
      </c>
      <c r="G135" s="25" t="s">
        <v>24</v>
      </c>
      <c r="I135" s="3">
        <v>0</v>
      </c>
      <c r="J135" s="3" t="s">
        <v>96</v>
      </c>
      <c r="K135" s="3">
        <v>2</v>
      </c>
    </row>
    <row r="136" spans="1:11" x14ac:dyDescent="0.3">
      <c r="A136" s="23">
        <v>46125</v>
      </c>
      <c r="B136" t="s">
        <v>19</v>
      </c>
      <c r="C136" s="25">
        <v>0.83333333333333337</v>
      </c>
      <c r="D136">
        <v>16</v>
      </c>
      <c r="E136" t="s">
        <v>381</v>
      </c>
      <c r="F136" t="s">
        <v>26</v>
      </c>
      <c r="G136" t="s">
        <v>393</v>
      </c>
      <c r="I136" s="3">
        <v>1</v>
      </c>
      <c r="J136" s="3" t="s">
        <v>96</v>
      </c>
      <c r="K136" s="3">
        <v>2</v>
      </c>
    </row>
    <row r="137" spans="1:11" x14ac:dyDescent="0.3">
      <c r="A137" s="23">
        <v>46127</v>
      </c>
      <c r="B137" t="s">
        <v>23</v>
      </c>
      <c r="C137" s="25">
        <v>0.75</v>
      </c>
      <c r="D137">
        <v>16</v>
      </c>
      <c r="E137" t="s">
        <v>382</v>
      </c>
      <c r="F137" t="s">
        <v>369</v>
      </c>
      <c r="G137" s="25" t="s">
        <v>20</v>
      </c>
      <c r="I137" s="3">
        <v>2</v>
      </c>
      <c r="J137" s="3" t="s">
        <v>96</v>
      </c>
      <c r="K137" s="3">
        <v>0</v>
      </c>
    </row>
    <row r="138" spans="1:11" x14ac:dyDescent="0.3">
      <c r="A138" s="23">
        <v>46127</v>
      </c>
      <c r="B138" t="s">
        <v>23</v>
      </c>
      <c r="C138" s="25">
        <v>0.83333333333333337</v>
      </c>
      <c r="D138">
        <v>16</v>
      </c>
      <c r="E138" t="s">
        <v>383</v>
      </c>
      <c r="F138" t="s">
        <v>27</v>
      </c>
      <c r="G138" s="25" t="s">
        <v>35</v>
      </c>
      <c r="I138" s="3">
        <v>0</v>
      </c>
      <c r="J138" s="3" t="s">
        <v>96</v>
      </c>
      <c r="K138" s="3">
        <v>2</v>
      </c>
    </row>
    <row r="139" spans="1:11" x14ac:dyDescent="0.3">
      <c r="A139" s="23">
        <v>46131</v>
      </c>
      <c r="B139" t="s">
        <v>9</v>
      </c>
      <c r="C139" t="s">
        <v>29</v>
      </c>
      <c r="D139">
        <v>16</v>
      </c>
      <c r="F139" t="s">
        <v>17</v>
      </c>
      <c r="G139" s="25"/>
    </row>
    <row r="140" spans="1:11" x14ac:dyDescent="0.3">
      <c r="A140" s="23">
        <v>46131</v>
      </c>
      <c r="B140" t="s">
        <v>9</v>
      </c>
      <c r="C140" t="s">
        <v>32</v>
      </c>
      <c r="D140">
        <v>16</v>
      </c>
      <c r="E140" t="s">
        <v>384</v>
      </c>
      <c r="F140" t="s">
        <v>24</v>
      </c>
      <c r="G140" t="s">
        <v>393</v>
      </c>
      <c r="I140" s="3">
        <v>0</v>
      </c>
      <c r="J140" s="3" t="s">
        <v>96</v>
      </c>
      <c r="K140" s="3">
        <v>2</v>
      </c>
    </row>
    <row r="141" spans="1:11" x14ac:dyDescent="0.3">
      <c r="A141" s="23">
        <v>46138</v>
      </c>
      <c r="B141" t="s">
        <v>9</v>
      </c>
      <c r="C141" t="s">
        <v>10</v>
      </c>
      <c r="D141">
        <v>17</v>
      </c>
      <c r="F141" t="s">
        <v>17</v>
      </c>
      <c r="G141" s="25"/>
    </row>
    <row r="142" spans="1:11" x14ac:dyDescent="0.3">
      <c r="A142" s="23">
        <v>46138</v>
      </c>
      <c r="B142" t="s">
        <v>9</v>
      </c>
      <c r="C142" s="25">
        <v>0.77083333333333337</v>
      </c>
      <c r="D142">
        <v>17</v>
      </c>
      <c r="E142" t="s">
        <v>385</v>
      </c>
      <c r="F142" s="3" t="s">
        <v>21</v>
      </c>
      <c r="G142" s="25" t="s">
        <v>35</v>
      </c>
      <c r="I142" s="3">
        <v>0</v>
      </c>
      <c r="J142" s="3" t="s">
        <v>96</v>
      </c>
      <c r="K142" s="3">
        <v>2</v>
      </c>
    </row>
    <row r="143" spans="1:11" x14ac:dyDescent="0.3">
      <c r="A143" s="23">
        <v>46139</v>
      </c>
      <c r="B143" t="s">
        <v>19</v>
      </c>
      <c r="C143" s="25">
        <v>0.83333333333333337</v>
      </c>
      <c r="D143">
        <v>18</v>
      </c>
      <c r="F143" t="s">
        <v>17</v>
      </c>
      <c r="G143" s="25"/>
    </row>
    <row r="144" spans="1:11" x14ac:dyDescent="0.3">
      <c r="A144" s="23">
        <v>46141</v>
      </c>
      <c r="B144" t="s">
        <v>23</v>
      </c>
      <c r="C144" s="25">
        <v>0.75</v>
      </c>
      <c r="D144">
        <v>18</v>
      </c>
      <c r="E144" t="s">
        <v>386</v>
      </c>
      <c r="F144" s="3" t="s">
        <v>24</v>
      </c>
      <c r="G144" s="25" t="s">
        <v>21</v>
      </c>
      <c r="I144" s="3">
        <v>2</v>
      </c>
      <c r="J144" s="3" t="s">
        <v>96</v>
      </c>
      <c r="K144" s="3">
        <v>0</v>
      </c>
    </row>
    <row r="145" spans="1:11" x14ac:dyDescent="0.3">
      <c r="A145" s="23">
        <v>46145</v>
      </c>
      <c r="B145" t="s">
        <v>9</v>
      </c>
      <c r="C145" s="25">
        <v>0.79166666666666663</v>
      </c>
      <c r="D145">
        <v>18</v>
      </c>
      <c r="E145" t="s">
        <v>387</v>
      </c>
      <c r="F145" s="3" t="s">
        <v>393</v>
      </c>
      <c r="G145" s="25" t="s">
        <v>35</v>
      </c>
      <c r="I145" s="3">
        <v>2</v>
      </c>
      <c r="J145" s="3" t="s">
        <v>96</v>
      </c>
      <c r="K145" s="3">
        <v>0</v>
      </c>
    </row>
    <row r="146" spans="1:11" x14ac:dyDescent="0.3">
      <c r="G146" s="25"/>
    </row>
  </sheetData>
  <autoFilter ref="A1:H126" xr:uid="{00000000-0001-0000-0000-000000000000}"/>
  <mergeCells count="1">
    <mergeCell ref="I1:K1"/>
  </mergeCells>
  <phoneticPr fontId="18" type="noConversion"/>
  <conditionalFormatting sqref="A1:I1 L1:XFD1 A2:XFD1048576">
    <cfRule type="containsText" dxfId="0" priority="1" operator="containsText" text="Volný termín">
      <formula>NOT(ISERROR(SEARCH("Volný termín",A1)))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CD240-62D5-4A4B-9899-790A671DE560}">
  <dimension ref="B2:N29"/>
  <sheetViews>
    <sheetView workbookViewId="0">
      <selection activeCell="P22" sqref="P22"/>
    </sheetView>
  </sheetViews>
  <sheetFormatPr defaultRowHeight="14.4" x14ac:dyDescent="0.3"/>
  <cols>
    <col min="1" max="2" width="8.88671875" style="4"/>
    <col min="3" max="3" width="14" style="4" customWidth="1"/>
    <col min="4" max="8" width="8.88671875" style="4"/>
    <col min="9" max="9" width="3.109375" style="4" customWidth="1"/>
    <col min="10" max="11" width="8.88671875" style="4"/>
    <col min="12" max="12" width="0" style="4" hidden="1" customWidth="1"/>
    <col min="13" max="13" width="1.88671875" style="4" customWidth="1"/>
    <col min="14" max="14" width="11.21875" style="4" bestFit="1" customWidth="1"/>
    <col min="15" max="16384" width="8.88671875" style="4"/>
  </cols>
  <sheetData>
    <row r="2" spans="2:12" x14ac:dyDescent="0.3">
      <c r="B2" s="50" t="s">
        <v>138</v>
      </c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2:12" x14ac:dyDescent="0.3">
      <c r="B3" s="5" t="s">
        <v>97</v>
      </c>
      <c r="C3" s="6" t="s">
        <v>98</v>
      </c>
      <c r="D3" s="5" t="s">
        <v>99</v>
      </c>
      <c r="E3" s="5" t="s">
        <v>100</v>
      </c>
      <c r="F3" s="5" t="s">
        <v>101</v>
      </c>
      <c r="G3" s="5" t="s">
        <v>102</v>
      </c>
      <c r="H3" s="51" t="s">
        <v>95</v>
      </c>
      <c r="I3" s="51"/>
      <c r="J3" s="51"/>
      <c r="K3" s="5" t="s">
        <v>103</v>
      </c>
      <c r="L3" s="5" t="s">
        <v>104</v>
      </c>
    </row>
    <row r="4" spans="2:12" x14ac:dyDescent="0.3">
      <c r="B4" s="26">
        <v>1</v>
      </c>
      <c r="C4" s="27" t="s">
        <v>24</v>
      </c>
      <c r="D4" s="26">
        <v>14</v>
      </c>
      <c r="E4" s="26">
        <v>11</v>
      </c>
      <c r="F4" s="26">
        <v>0</v>
      </c>
      <c r="G4" s="26">
        <v>3</v>
      </c>
      <c r="H4" s="26">
        <v>26548</v>
      </c>
      <c r="I4" s="26" t="s">
        <v>96</v>
      </c>
      <c r="J4" s="26">
        <v>24320</v>
      </c>
      <c r="K4" s="26">
        <v>22</v>
      </c>
      <c r="L4" s="7">
        <v>0</v>
      </c>
    </row>
    <row r="5" spans="2:12" x14ac:dyDescent="0.3">
      <c r="B5" s="26">
        <v>2</v>
      </c>
      <c r="C5" s="27" t="s">
        <v>35</v>
      </c>
      <c r="D5" s="26">
        <v>14</v>
      </c>
      <c r="E5" s="26">
        <v>11</v>
      </c>
      <c r="F5" s="26">
        <v>0</v>
      </c>
      <c r="G5" s="26">
        <v>3</v>
      </c>
      <c r="H5" s="26">
        <v>25325</v>
      </c>
      <c r="I5" s="26" t="s">
        <v>96</v>
      </c>
      <c r="J5" s="26">
        <v>24161</v>
      </c>
      <c r="K5" s="26">
        <v>22</v>
      </c>
      <c r="L5" s="7">
        <v>0</v>
      </c>
    </row>
    <row r="6" spans="2:12" x14ac:dyDescent="0.3">
      <c r="B6" s="26">
        <v>3</v>
      </c>
      <c r="C6" s="27" t="s">
        <v>21</v>
      </c>
      <c r="D6" s="26">
        <v>14</v>
      </c>
      <c r="E6" s="26">
        <v>11</v>
      </c>
      <c r="F6" s="26">
        <v>0</v>
      </c>
      <c r="G6" s="26">
        <v>3</v>
      </c>
      <c r="H6" s="26">
        <v>25995</v>
      </c>
      <c r="I6" s="26" t="s">
        <v>96</v>
      </c>
      <c r="J6" s="26">
        <v>24258</v>
      </c>
      <c r="K6" s="26">
        <v>22</v>
      </c>
      <c r="L6" s="7">
        <v>0</v>
      </c>
    </row>
    <row r="7" spans="2:12" x14ac:dyDescent="0.3">
      <c r="B7" s="26">
        <v>4</v>
      </c>
      <c r="C7" s="27" t="s">
        <v>31</v>
      </c>
      <c r="D7" s="26">
        <v>14</v>
      </c>
      <c r="E7" s="26">
        <v>10</v>
      </c>
      <c r="F7" s="26">
        <v>0</v>
      </c>
      <c r="G7" s="26">
        <v>4</v>
      </c>
      <c r="H7" s="26">
        <v>25572</v>
      </c>
      <c r="I7" s="26" t="s">
        <v>96</v>
      </c>
      <c r="J7" s="26">
        <v>24599</v>
      </c>
      <c r="K7" s="26">
        <v>20</v>
      </c>
      <c r="L7" s="7">
        <v>0</v>
      </c>
    </row>
    <row r="8" spans="2:12" x14ac:dyDescent="0.3">
      <c r="B8" s="26">
        <v>5</v>
      </c>
      <c r="C8" s="27" t="s">
        <v>14</v>
      </c>
      <c r="D8" s="26">
        <v>14</v>
      </c>
      <c r="E8" s="26">
        <v>9</v>
      </c>
      <c r="F8" s="26">
        <v>0</v>
      </c>
      <c r="G8" s="26">
        <v>5</v>
      </c>
      <c r="H8" s="26">
        <v>24638</v>
      </c>
      <c r="I8" s="26" t="s">
        <v>96</v>
      </c>
      <c r="J8" s="26">
        <v>24211</v>
      </c>
      <c r="K8" s="26">
        <v>18</v>
      </c>
      <c r="L8" s="7">
        <v>0</v>
      </c>
    </row>
    <row r="9" spans="2:12" x14ac:dyDescent="0.3">
      <c r="B9" s="26">
        <v>6</v>
      </c>
      <c r="C9" s="27" t="s">
        <v>105</v>
      </c>
      <c r="D9" s="26">
        <v>14</v>
      </c>
      <c r="E9" s="26">
        <v>9</v>
      </c>
      <c r="F9" s="26">
        <v>0</v>
      </c>
      <c r="G9" s="26">
        <v>5</v>
      </c>
      <c r="H9" s="26">
        <v>25624</v>
      </c>
      <c r="I9" s="26" t="s">
        <v>96</v>
      </c>
      <c r="J9" s="26">
        <v>24138</v>
      </c>
      <c r="K9" s="26">
        <v>18</v>
      </c>
      <c r="L9" s="7">
        <v>0</v>
      </c>
    </row>
    <row r="10" spans="2:12" x14ac:dyDescent="0.3">
      <c r="B10" s="26">
        <v>7</v>
      </c>
      <c r="C10" s="27" t="s">
        <v>27</v>
      </c>
      <c r="D10" s="26">
        <v>14</v>
      </c>
      <c r="E10" s="26">
        <v>9</v>
      </c>
      <c r="F10" s="26">
        <v>0</v>
      </c>
      <c r="G10" s="26">
        <v>5</v>
      </c>
      <c r="H10" s="26">
        <v>25538</v>
      </c>
      <c r="I10" s="26" t="s">
        <v>96</v>
      </c>
      <c r="J10" s="26">
        <v>24031</v>
      </c>
      <c r="K10" s="26">
        <v>18</v>
      </c>
      <c r="L10" s="7">
        <v>0</v>
      </c>
    </row>
    <row r="11" spans="2:12" x14ac:dyDescent="0.3">
      <c r="B11" s="26">
        <v>8</v>
      </c>
      <c r="C11" s="27" t="s">
        <v>34</v>
      </c>
      <c r="D11" s="26">
        <v>14</v>
      </c>
      <c r="E11" s="26">
        <v>8</v>
      </c>
      <c r="F11" s="26">
        <v>0</v>
      </c>
      <c r="G11" s="26">
        <v>6</v>
      </c>
      <c r="H11" s="26">
        <v>23834</v>
      </c>
      <c r="I11" s="26" t="s">
        <v>96</v>
      </c>
      <c r="J11" s="26">
        <v>24078</v>
      </c>
      <c r="K11" s="26">
        <v>16</v>
      </c>
      <c r="L11" s="7">
        <v>0</v>
      </c>
    </row>
    <row r="12" spans="2:12" x14ac:dyDescent="0.3">
      <c r="B12" s="26">
        <v>9</v>
      </c>
      <c r="C12" s="27" t="s">
        <v>15</v>
      </c>
      <c r="D12" s="26">
        <v>14</v>
      </c>
      <c r="E12" s="26">
        <v>7</v>
      </c>
      <c r="F12" s="26">
        <v>0</v>
      </c>
      <c r="G12" s="26">
        <v>7</v>
      </c>
      <c r="H12" s="26">
        <v>24969</v>
      </c>
      <c r="I12" s="26" t="s">
        <v>96</v>
      </c>
      <c r="J12" s="26">
        <v>24189</v>
      </c>
      <c r="K12" s="26">
        <v>14</v>
      </c>
      <c r="L12" s="7">
        <v>0</v>
      </c>
    </row>
    <row r="13" spans="2:12" x14ac:dyDescent="0.3">
      <c r="B13" s="26">
        <v>10</v>
      </c>
      <c r="C13" s="27" t="s">
        <v>12</v>
      </c>
      <c r="D13" s="26">
        <v>14</v>
      </c>
      <c r="E13" s="26">
        <v>6</v>
      </c>
      <c r="F13" s="26">
        <v>0</v>
      </c>
      <c r="G13" s="26">
        <v>8</v>
      </c>
      <c r="H13" s="26">
        <v>22825</v>
      </c>
      <c r="I13" s="26" t="s">
        <v>96</v>
      </c>
      <c r="J13" s="26">
        <v>24052</v>
      </c>
      <c r="K13" s="26">
        <v>12</v>
      </c>
      <c r="L13" s="7">
        <v>0</v>
      </c>
    </row>
    <row r="14" spans="2:12" x14ac:dyDescent="0.3">
      <c r="B14" s="26">
        <v>11</v>
      </c>
      <c r="C14" s="27" t="s">
        <v>11</v>
      </c>
      <c r="D14" s="26">
        <v>14</v>
      </c>
      <c r="E14" s="26">
        <v>6</v>
      </c>
      <c r="F14" s="26">
        <v>0</v>
      </c>
      <c r="G14" s="26">
        <v>8</v>
      </c>
      <c r="H14" s="26">
        <v>24354</v>
      </c>
      <c r="I14" s="26" t="s">
        <v>96</v>
      </c>
      <c r="J14" s="26">
        <v>24227</v>
      </c>
      <c r="K14" s="26">
        <v>12</v>
      </c>
      <c r="L14" s="7">
        <v>0</v>
      </c>
    </row>
    <row r="15" spans="2:12" x14ac:dyDescent="0.3">
      <c r="B15" s="26">
        <v>12</v>
      </c>
      <c r="C15" s="27" t="s">
        <v>20</v>
      </c>
      <c r="D15" s="26">
        <v>14</v>
      </c>
      <c r="E15" s="26">
        <v>3</v>
      </c>
      <c r="F15" s="26">
        <v>0</v>
      </c>
      <c r="G15" s="26">
        <v>11</v>
      </c>
      <c r="H15" s="26">
        <v>23187</v>
      </c>
      <c r="I15" s="26" t="s">
        <v>96</v>
      </c>
      <c r="J15" s="26">
        <v>24596</v>
      </c>
      <c r="K15" s="26">
        <v>6</v>
      </c>
      <c r="L15" s="7">
        <v>0</v>
      </c>
    </row>
    <row r="16" spans="2:12" x14ac:dyDescent="0.3">
      <c r="B16" s="26">
        <v>13</v>
      </c>
      <c r="C16" s="27" t="s">
        <v>30</v>
      </c>
      <c r="D16" s="26">
        <v>13</v>
      </c>
      <c r="E16" s="26">
        <v>2</v>
      </c>
      <c r="F16" s="26">
        <v>0</v>
      </c>
      <c r="G16" s="26">
        <v>11</v>
      </c>
      <c r="H16" s="26">
        <v>20539</v>
      </c>
      <c r="I16" s="26" t="s">
        <v>96</v>
      </c>
      <c r="J16" s="26">
        <v>22481</v>
      </c>
      <c r="K16" s="26">
        <v>4</v>
      </c>
      <c r="L16" s="7">
        <v>0</v>
      </c>
    </row>
    <row r="17" spans="2:14" x14ac:dyDescent="0.3">
      <c r="B17" s="26">
        <v>14</v>
      </c>
      <c r="C17" s="27" t="s">
        <v>44</v>
      </c>
      <c r="D17" s="26">
        <v>14</v>
      </c>
      <c r="E17" s="26">
        <v>2</v>
      </c>
      <c r="F17" s="26">
        <v>0</v>
      </c>
      <c r="G17" s="26">
        <v>12</v>
      </c>
      <c r="H17" s="26">
        <v>22081</v>
      </c>
      <c r="I17" s="26" t="s">
        <v>96</v>
      </c>
      <c r="J17" s="26">
        <v>24072</v>
      </c>
      <c r="K17" s="26">
        <v>4</v>
      </c>
      <c r="L17" s="7">
        <v>0</v>
      </c>
    </row>
    <row r="18" spans="2:14" x14ac:dyDescent="0.3">
      <c r="B18" s="26">
        <v>15</v>
      </c>
      <c r="C18" s="27" t="s">
        <v>25</v>
      </c>
      <c r="D18" s="26">
        <v>14</v>
      </c>
      <c r="E18" s="26">
        <v>1</v>
      </c>
      <c r="F18" s="26">
        <v>0</v>
      </c>
      <c r="G18" s="26">
        <v>13</v>
      </c>
      <c r="H18" s="26">
        <v>20733</v>
      </c>
      <c r="I18" s="26" t="s">
        <v>96</v>
      </c>
      <c r="J18" s="26">
        <v>24332</v>
      </c>
      <c r="K18" s="26">
        <v>2</v>
      </c>
    </row>
    <row r="21" spans="2:14" x14ac:dyDescent="0.3">
      <c r="B21" s="36" t="s">
        <v>366</v>
      </c>
    </row>
    <row r="22" spans="2:14" x14ac:dyDescent="0.3">
      <c r="B22" s="7">
        <v>1</v>
      </c>
      <c r="C22" s="8" t="s">
        <v>24</v>
      </c>
      <c r="D22" s="7">
        <v>2</v>
      </c>
      <c r="E22" s="7">
        <v>1</v>
      </c>
      <c r="F22" s="7">
        <v>0</v>
      </c>
      <c r="G22" s="7">
        <v>1</v>
      </c>
      <c r="H22" s="7">
        <f>1874+1975</f>
        <v>3849</v>
      </c>
      <c r="I22" s="7" t="s">
        <v>96</v>
      </c>
      <c r="J22" s="7">
        <f>1896+1899</f>
        <v>3795</v>
      </c>
      <c r="K22" s="7">
        <v>2</v>
      </c>
      <c r="N22" s="4">
        <f>H22-J22</f>
        <v>54</v>
      </c>
    </row>
    <row r="23" spans="2:14" x14ac:dyDescent="0.3">
      <c r="B23" s="7">
        <v>2</v>
      </c>
      <c r="C23" s="8" t="s">
        <v>35</v>
      </c>
      <c r="D23" s="7">
        <v>2</v>
      </c>
      <c r="E23" s="7">
        <v>1</v>
      </c>
      <c r="F23" s="7">
        <v>0</v>
      </c>
      <c r="G23" s="7">
        <v>1</v>
      </c>
      <c r="H23" s="7">
        <f>1899+1887</f>
        <v>3786</v>
      </c>
      <c r="I23" s="7" t="s">
        <v>96</v>
      </c>
      <c r="J23" s="7">
        <f>1975+1808</f>
        <v>3783</v>
      </c>
      <c r="K23" s="7">
        <v>2</v>
      </c>
      <c r="N23" s="4">
        <f>H23-J23</f>
        <v>3</v>
      </c>
    </row>
    <row r="24" spans="2:14" x14ac:dyDescent="0.3">
      <c r="B24" s="7">
        <v>3</v>
      </c>
      <c r="C24" s="8" t="s">
        <v>21</v>
      </c>
      <c r="D24" s="7">
        <v>2</v>
      </c>
      <c r="E24" s="7">
        <v>1</v>
      </c>
      <c r="F24" s="7">
        <v>0</v>
      </c>
      <c r="G24" s="7">
        <v>1</v>
      </c>
      <c r="H24" s="7">
        <f>1896+1808</f>
        <v>3704</v>
      </c>
      <c r="I24" s="7" t="s">
        <v>96</v>
      </c>
      <c r="J24" s="7">
        <f>1874+1887</f>
        <v>3761</v>
      </c>
      <c r="K24" s="7">
        <v>2</v>
      </c>
      <c r="N24" s="4">
        <f t="shared" ref="N24" si="0">H24-J24</f>
        <v>-57</v>
      </c>
    </row>
    <row r="26" spans="2:14" x14ac:dyDescent="0.3">
      <c r="B26" s="38" t="s">
        <v>388</v>
      </c>
    </row>
    <row r="27" spans="2:14" x14ac:dyDescent="0.3">
      <c r="B27" s="7">
        <v>5</v>
      </c>
      <c r="C27" s="8" t="s">
        <v>14</v>
      </c>
      <c r="D27" s="7">
        <v>2</v>
      </c>
      <c r="E27" s="7">
        <v>2</v>
      </c>
      <c r="F27" s="7">
        <v>0</v>
      </c>
      <c r="G27" s="7">
        <v>0</v>
      </c>
      <c r="H27" s="7">
        <f>1822+1767</f>
        <v>3589</v>
      </c>
      <c r="I27" s="7" t="s">
        <v>96</v>
      </c>
      <c r="J27" s="7">
        <f>1770+1704</f>
        <v>3474</v>
      </c>
      <c r="K27" s="7">
        <v>4</v>
      </c>
      <c r="N27" s="4">
        <f t="shared" ref="N27" si="1">H27-J27</f>
        <v>115</v>
      </c>
    </row>
    <row r="28" spans="2:14" x14ac:dyDescent="0.3">
      <c r="B28" s="7">
        <v>6</v>
      </c>
      <c r="C28" s="8" t="s">
        <v>105</v>
      </c>
      <c r="D28" s="7">
        <v>2</v>
      </c>
      <c r="E28" s="7">
        <v>1</v>
      </c>
      <c r="F28" s="7">
        <v>0</v>
      </c>
      <c r="G28" s="7">
        <v>1</v>
      </c>
      <c r="H28" s="7">
        <f>1878+1770</f>
        <v>3648</v>
      </c>
      <c r="I28" s="7" t="s">
        <v>96</v>
      </c>
      <c r="J28" s="7">
        <f>1836+1822</f>
        <v>3658</v>
      </c>
      <c r="K28" s="7">
        <v>2</v>
      </c>
      <c r="N28" s="4">
        <f>H28-J28</f>
        <v>-10</v>
      </c>
    </row>
    <row r="29" spans="2:14" x14ac:dyDescent="0.3">
      <c r="B29" s="7">
        <v>7</v>
      </c>
      <c r="C29" s="8" t="s">
        <v>27</v>
      </c>
      <c r="D29" s="7">
        <v>2</v>
      </c>
      <c r="E29" s="7">
        <v>0</v>
      </c>
      <c r="F29" s="7">
        <v>0</v>
      </c>
      <c r="G29" s="7">
        <v>2</v>
      </c>
      <c r="H29" s="7">
        <f>1836+1704</f>
        <v>3540</v>
      </c>
      <c r="I29" s="7" t="s">
        <v>96</v>
      </c>
      <c r="J29" s="7">
        <f>1878+1767</f>
        <v>3645</v>
      </c>
      <c r="K29" s="7">
        <v>0</v>
      </c>
      <c r="N29" s="4">
        <f>H29-J29</f>
        <v>-105</v>
      </c>
    </row>
  </sheetData>
  <mergeCells count="2">
    <mergeCell ref="B2:L2"/>
    <mergeCell ref="H3:J3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67B16-AFFF-4371-8788-8CB57C1765E6}">
  <dimension ref="A1:Q18"/>
  <sheetViews>
    <sheetView zoomScale="85" zoomScaleNormal="85" workbookViewId="0">
      <selection activeCell="A7" sqref="A7:XFD7"/>
    </sheetView>
  </sheetViews>
  <sheetFormatPr defaultRowHeight="14.4" x14ac:dyDescent="0.3"/>
  <cols>
    <col min="2" max="2" width="15.6640625" bestFit="1" customWidth="1"/>
    <col min="3" max="17" width="12.21875" customWidth="1"/>
  </cols>
  <sheetData>
    <row r="1" spans="1:17" ht="84.6" x14ac:dyDescent="0.3">
      <c r="A1" s="52" t="str">
        <f>[1]Tab_1!O1</f>
        <v>Turnaj 1</v>
      </c>
      <c r="B1" s="53"/>
      <c r="C1" s="9" t="s">
        <v>24</v>
      </c>
      <c r="D1" s="9" t="s">
        <v>21</v>
      </c>
      <c r="E1" s="9" t="s">
        <v>35</v>
      </c>
      <c r="F1" s="9" t="s">
        <v>31</v>
      </c>
      <c r="G1" s="9" t="s">
        <v>105</v>
      </c>
      <c r="H1" s="9" t="s">
        <v>27</v>
      </c>
      <c r="I1" s="9" t="s">
        <v>14</v>
      </c>
      <c r="J1" s="9" t="s">
        <v>34</v>
      </c>
      <c r="K1" s="9" t="s">
        <v>15</v>
      </c>
      <c r="L1" s="9" t="s">
        <v>11</v>
      </c>
      <c r="M1" s="9" t="s">
        <v>12</v>
      </c>
      <c r="N1" s="9" t="s">
        <v>20</v>
      </c>
      <c r="O1" s="9" t="s">
        <v>30</v>
      </c>
      <c r="P1" s="9" t="s">
        <v>44</v>
      </c>
      <c r="Q1" s="9" t="s">
        <v>25</v>
      </c>
    </row>
    <row r="2" spans="1:17" x14ac:dyDescent="0.3">
      <c r="A2" s="10">
        <v>1</v>
      </c>
      <c r="B2" s="11" t="s">
        <v>24</v>
      </c>
      <c r="C2" s="12"/>
      <c r="D2" s="13" t="s">
        <v>113</v>
      </c>
      <c r="E2" s="13" t="s">
        <v>176</v>
      </c>
      <c r="F2" s="13" t="s">
        <v>323</v>
      </c>
      <c r="G2" s="13" t="s">
        <v>261</v>
      </c>
      <c r="H2" s="13" t="s">
        <v>191</v>
      </c>
      <c r="I2" s="13" t="s">
        <v>175</v>
      </c>
      <c r="J2" s="13" t="s">
        <v>142</v>
      </c>
      <c r="K2" s="13" t="s">
        <v>300</v>
      </c>
      <c r="L2" s="13" t="s">
        <v>244</v>
      </c>
      <c r="M2" s="13" t="s">
        <v>153</v>
      </c>
      <c r="N2" s="13" t="s">
        <v>216</v>
      </c>
      <c r="O2" s="13" t="s">
        <v>262</v>
      </c>
      <c r="P2" s="13" t="s">
        <v>288</v>
      </c>
      <c r="Q2" s="13" t="s">
        <v>114</v>
      </c>
    </row>
    <row r="3" spans="1:17" x14ac:dyDescent="0.3">
      <c r="A3" s="10">
        <v>2</v>
      </c>
      <c r="B3" s="11" t="s">
        <v>21</v>
      </c>
      <c r="C3" s="13" t="s">
        <v>111</v>
      </c>
      <c r="D3" s="12"/>
      <c r="E3" s="13" t="s">
        <v>218</v>
      </c>
      <c r="F3" s="13" t="s">
        <v>336</v>
      </c>
      <c r="G3" s="13" t="s">
        <v>275</v>
      </c>
      <c r="H3" s="13" t="s">
        <v>219</v>
      </c>
      <c r="I3" s="13" t="s">
        <v>166</v>
      </c>
      <c r="J3" s="13" t="s">
        <v>253</v>
      </c>
      <c r="K3" s="13" t="s">
        <v>154</v>
      </c>
      <c r="L3" s="13" t="s">
        <v>185</v>
      </c>
      <c r="M3" s="13" t="s">
        <v>213</v>
      </c>
      <c r="N3" s="13" t="s">
        <v>112</v>
      </c>
      <c r="O3" s="13" t="s">
        <v>301</v>
      </c>
      <c r="P3" s="13" t="s">
        <v>263</v>
      </c>
      <c r="Q3" s="13" t="s">
        <v>220</v>
      </c>
    </row>
    <row r="4" spans="1:17" x14ac:dyDescent="0.3">
      <c r="A4" s="10">
        <v>3</v>
      </c>
      <c r="B4" s="11" t="s">
        <v>35</v>
      </c>
      <c r="C4" s="13" t="s">
        <v>178</v>
      </c>
      <c r="D4" s="13" t="s">
        <v>223</v>
      </c>
      <c r="E4" s="12"/>
      <c r="F4" s="13" t="s">
        <v>276</v>
      </c>
      <c r="G4" s="13" t="s">
        <v>156</v>
      </c>
      <c r="H4" s="13" t="s">
        <v>324</v>
      </c>
      <c r="I4" s="13" t="s">
        <v>149</v>
      </c>
      <c r="J4" s="13" t="s">
        <v>325</v>
      </c>
      <c r="K4" s="13" t="s">
        <v>197</v>
      </c>
      <c r="L4" s="13" t="s">
        <v>169</v>
      </c>
      <c r="M4" s="13" t="s">
        <v>196</v>
      </c>
      <c r="N4" s="13" t="s">
        <v>118</v>
      </c>
      <c r="O4" s="13" t="s">
        <v>245</v>
      </c>
      <c r="P4" s="13" t="s">
        <v>303</v>
      </c>
      <c r="Q4" s="13" t="s">
        <v>264</v>
      </c>
    </row>
    <row r="5" spans="1:17" x14ac:dyDescent="0.3">
      <c r="A5" s="10">
        <v>4</v>
      </c>
      <c r="B5" s="11" t="s">
        <v>31</v>
      </c>
      <c r="C5" s="13" t="s">
        <v>326</v>
      </c>
      <c r="D5" s="13" t="s">
        <v>339</v>
      </c>
      <c r="E5" s="13" t="s">
        <v>281</v>
      </c>
      <c r="F5" s="12"/>
      <c r="G5" s="13" t="s">
        <v>202</v>
      </c>
      <c r="H5" s="13" t="s">
        <v>340</v>
      </c>
      <c r="I5" s="13" t="s">
        <v>291</v>
      </c>
      <c r="J5" s="13" t="s">
        <v>362</v>
      </c>
      <c r="K5" s="13" t="s">
        <v>292</v>
      </c>
      <c r="L5" s="13" t="s">
        <v>117</v>
      </c>
      <c r="M5" s="13" t="s">
        <v>227</v>
      </c>
      <c r="N5" s="13" t="s">
        <v>246</v>
      </c>
      <c r="O5" s="13" t="s">
        <v>389</v>
      </c>
      <c r="P5" s="13" t="s">
        <v>228</v>
      </c>
      <c r="Q5" s="13" t="s">
        <v>148</v>
      </c>
    </row>
    <row r="6" spans="1:17" x14ac:dyDescent="0.3">
      <c r="A6" s="10">
        <v>5</v>
      </c>
      <c r="B6" s="11" t="s">
        <v>105</v>
      </c>
      <c r="C6" s="13" t="s">
        <v>266</v>
      </c>
      <c r="D6" s="13" t="s">
        <v>277</v>
      </c>
      <c r="E6" s="13" t="s">
        <v>155</v>
      </c>
      <c r="F6" s="13" t="s">
        <v>198</v>
      </c>
      <c r="G6" s="12"/>
      <c r="H6" s="13" t="s">
        <v>109</v>
      </c>
      <c r="I6" s="13" t="s">
        <v>231</v>
      </c>
      <c r="J6" s="13" t="s">
        <v>199</v>
      </c>
      <c r="K6" s="13" t="s">
        <v>256</v>
      </c>
      <c r="L6" s="13" t="s">
        <v>232</v>
      </c>
      <c r="M6" s="13" t="s">
        <v>247</v>
      </c>
      <c r="N6" s="13" t="s">
        <v>278</v>
      </c>
      <c r="O6" s="13" t="s">
        <v>110</v>
      </c>
      <c r="P6" s="13" t="s">
        <v>314</v>
      </c>
      <c r="Q6" s="13" t="s">
        <v>289</v>
      </c>
    </row>
    <row r="7" spans="1:17" x14ac:dyDescent="0.3">
      <c r="A7" s="10">
        <v>6</v>
      </c>
      <c r="B7" s="11" t="s">
        <v>27</v>
      </c>
      <c r="C7" s="13" t="s">
        <v>209</v>
      </c>
      <c r="D7" s="13" t="s">
        <v>224</v>
      </c>
      <c r="E7" s="13" t="s">
        <v>327</v>
      </c>
      <c r="F7" s="13" t="s">
        <v>337</v>
      </c>
      <c r="G7" s="13" t="s">
        <v>123</v>
      </c>
      <c r="H7" s="12"/>
      <c r="I7" s="13" t="s">
        <v>307</v>
      </c>
      <c r="J7" s="13" t="s">
        <v>257</v>
      </c>
      <c r="K7" s="13" t="s">
        <v>308</v>
      </c>
      <c r="L7" s="13" t="s">
        <v>265</v>
      </c>
      <c r="M7" s="13" t="s">
        <v>225</v>
      </c>
      <c r="N7" s="13" t="s">
        <v>338</v>
      </c>
      <c r="O7" s="13" t="s">
        <v>179</v>
      </c>
      <c r="P7" s="13" t="s">
        <v>226</v>
      </c>
      <c r="Q7" s="13" t="s">
        <v>160</v>
      </c>
    </row>
    <row r="8" spans="1:17" x14ac:dyDescent="0.3">
      <c r="A8" s="10">
        <v>7</v>
      </c>
      <c r="B8" s="11" t="s">
        <v>14</v>
      </c>
      <c r="C8" s="13" t="s">
        <v>177</v>
      </c>
      <c r="D8" s="13" t="s">
        <v>165</v>
      </c>
      <c r="E8" s="13" t="s">
        <v>147</v>
      </c>
      <c r="F8" s="13" t="s">
        <v>290</v>
      </c>
      <c r="G8" s="13" t="s">
        <v>217</v>
      </c>
      <c r="H8" s="13" t="s">
        <v>302</v>
      </c>
      <c r="I8" s="12"/>
      <c r="J8" s="13" t="s">
        <v>279</v>
      </c>
      <c r="K8" s="13" t="s">
        <v>108</v>
      </c>
      <c r="L8" s="13" t="s">
        <v>192</v>
      </c>
      <c r="M8" s="13" t="s">
        <v>106</v>
      </c>
      <c r="N8" s="13" t="s">
        <v>193</v>
      </c>
      <c r="O8" s="13" t="s">
        <v>280</v>
      </c>
      <c r="P8" s="13" t="s">
        <v>319</v>
      </c>
      <c r="Q8" s="13" t="s">
        <v>107</v>
      </c>
    </row>
    <row r="9" spans="1:17" x14ac:dyDescent="0.3">
      <c r="A9" s="10">
        <v>8</v>
      </c>
      <c r="B9" s="11" t="s">
        <v>34</v>
      </c>
      <c r="C9" s="13" t="s">
        <v>145</v>
      </c>
      <c r="D9" s="13" t="s">
        <v>254</v>
      </c>
      <c r="E9" s="13" t="s">
        <v>328</v>
      </c>
      <c r="F9" s="13" t="s">
        <v>363</v>
      </c>
      <c r="G9" s="13" t="s">
        <v>207</v>
      </c>
      <c r="H9" s="13" t="s">
        <v>259</v>
      </c>
      <c r="I9" s="13" t="s">
        <v>282</v>
      </c>
      <c r="J9" s="12"/>
      <c r="K9" s="13" t="s">
        <v>208</v>
      </c>
      <c r="L9" s="13" t="s">
        <v>293</v>
      </c>
      <c r="M9" s="13" t="s">
        <v>127</v>
      </c>
      <c r="N9" s="13" t="s">
        <v>235</v>
      </c>
      <c r="O9" s="13" t="s">
        <v>294</v>
      </c>
      <c r="P9" s="13" t="s">
        <v>180</v>
      </c>
      <c r="Q9" s="13" t="s">
        <v>306</v>
      </c>
    </row>
    <row r="10" spans="1:17" x14ac:dyDescent="0.3">
      <c r="A10" s="10">
        <v>9</v>
      </c>
      <c r="B10" s="11" t="s">
        <v>15</v>
      </c>
      <c r="C10" s="13" t="s">
        <v>304</v>
      </c>
      <c r="D10" s="13" t="s">
        <v>158</v>
      </c>
      <c r="E10" s="13" t="s">
        <v>205</v>
      </c>
      <c r="F10" s="13" t="s">
        <v>295</v>
      </c>
      <c r="G10" s="13" t="s">
        <v>258</v>
      </c>
      <c r="H10" s="13" t="s">
        <v>305</v>
      </c>
      <c r="I10" s="13" t="s">
        <v>125</v>
      </c>
      <c r="J10" s="13" t="s">
        <v>206</v>
      </c>
      <c r="K10" s="12"/>
      <c r="L10" s="13" t="s">
        <v>233</v>
      </c>
      <c r="M10" s="13" t="s">
        <v>144</v>
      </c>
      <c r="N10" s="13" t="s">
        <v>167</v>
      </c>
      <c r="O10" s="13" t="s">
        <v>234</v>
      </c>
      <c r="P10" s="13" t="s">
        <v>267</v>
      </c>
      <c r="Q10" s="13" t="s">
        <v>249</v>
      </c>
    </row>
    <row r="11" spans="1:17" x14ac:dyDescent="0.3">
      <c r="A11" s="10">
        <v>10</v>
      </c>
      <c r="B11" s="11" t="s">
        <v>11</v>
      </c>
      <c r="C11" s="13" t="s">
        <v>243</v>
      </c>
      <c r="D11" s="13" t="s">
        <v>186</v>
      </c>
      <c r="E11" s="13" t="s">
        <v>168</v>
      </c>
      <c r="F11" s="13" t="s">
        <v>124</v>
      </c>
      <c r="G11" s="13" t="s">
        <v>221</v>
      </c>
      <c r="H11" s="13" t="s">
        <v>268</v>
      </c>
      <c r="I11" s="13" t="s">
        <v>200</v>
      </c>
      <c r="J11" s="13" t="s">
        <v>296</v>
      </c>
      <c r="K11" s="13" t="s">
        <v>222</v>
      </c>
      <c r="L11" s="12"/>
      <c r="M11" s="13" t="s">
        <v>329</v>
      </c>
      <c r="N11" s="13" t="s">
        <v>150</v>
      </c>
      <c r="O11" s="13" t="s">
        <v>309</v>
      </c>
      <c r="P11" s="13" t="s">
        <v>159</v>
      </c>
      <c r="Q11" s="13" t="s">
        <v>201</v>
      </c>
    </row>
    <row r="12" spans="1:17" x14ac:dyDescent="0.3">
      <c r="A12" s="10">
        <v>11</v>
      </c>
      <c r="B12" s="11" t="s">
        <v>12</v>
      </c>
      <c r="C12" s="13" t="s">
        <v>157</v>
      </c>
      <c r="D12" s="13" t="s">
        <v>214</v>
      </c>
      <c r="E12" s="13" t="s">
        <v>194</v>
      </c>
      <c r="F12" s="13" t="s">
        <v>230</v>
      </c>
      <c r="G12" s="13" t="s">
        <v>248</v>
      </c>
      <c r="H12" s="13" t="s">
        <v>229</v>
      </c>
      <c r="I12" s="13" t="s">
        <v>115</v>
      </c>
      <c r="J12" s="13" t="s">
        <v>116</v>
      </c>
      <c r="K12" s="13" t="s">
        <v>143</v>
      </c>
      <c r="L12" s="13" t="s">
        <v>330</v>
      </c>
      <c r="M12" s="12"/>
      <c r="N12" s="13" t="s">
        <v>163</v>
      </c>
      <c r="O12" s="13" t="s">
        <v>195</v>
      </c>
      <c r="P12" s="13" t="s">
        <v>364</v>
      </c>
      <c r="Q12" s="13" t="s">
        <v>164</v>
      </c>
    </row>
    <row r="13" spans="1:17" x14ac:dyDescent="0.3">
      <c r="A13" s="10">
        <v>12</v>
      </c>
      <c r="B13" s="11" t="s">
        <v>20</v>
      </c>
      <c r="C13" s="13" t="s">
        <v>236</v>
      </c>
      <c r="D13" s="13" t="s">
        <v>119</v>
      </c>
      <c r="E13" s="13" t="s">
        <v>120</v>
      </c>
      <c r="F13" s="13" t="s">
        <v>250</v>
      </c>
      <c r="G13" s="13" t="s">
        <v>283</v>
      </c>
      <c r="H13" s="13" t="s">
        <v>341</v>
      </c>
      <c r="I13" s="13" t="s">
        <v>203</v>
      </c>
      <c r="J13" s="13" t="s">
        <v>237</v>
      </c>
      <c r="K13" s="13" t="s">
        <v>171</v>
      </c>
      <c r="L13" s="13" t="s">
        <v>151</v>
      </c>
      <c r="M13" s="13" t="s">
        <v>170</v>
      </c>
      <c r="N13" s="12"/>
      <c r="O13" s="13" t="s">
        <v>342</v>
      </c>
      <c r="P13" s="13" t="s">
        <v>204</v>
      </c>
      <c r="Q13" s="13" t="s">
        <v>187</v>
      </c>
    </row>
    <row r="14" spans="1:17" x14ac:dyDescent="0.3">
      <c r="A14" s="10">
        <v>13</v>
      </c>
      <c r="B14" s="11" t="s">
        <v>30</v>
      </c>
      <c r="C14" s="13" t="s">
        <v>272</v>
      </c>
      <c r="D14" s="13" t="s">
        <v>312</v>
      </c>
      <c r="E14" s="13" t="s">
        <v>252</v>
      </c>
      <c r="F14" s="13" t="s">
        <v>390</v>
      </c>
      <c r="G14" s="13" t="s">
        <v>126</v>
      </c>
      <c r="H14" s="13" t="s">
        <v>182</v>
      </c>
      <c r="I14" s="13" t="s">
        <v>286</v>
      </c>
      <c r="J14" s="13" t="s">
        <v>299</v>
      </c>
      <c r="K14" s="13" t="s">
        <v>241</v>
      </c>
      <c r="L14" s="13" t="s">
        <v>313</v>
      </c>
      <c r="M14" s="13" t="s">
        <v>212</v>
      </c>
      <c r="N14" s="13" t="s">
        <v>343</v>
      </c>
      <c r="O14" s="12"/>
      <c r="P14" s="13" t="s">
        <v>332</v>
      </c>
      <c r="Q14" s="13" t="s">
        <v>322</v>
      </c>
    </row>
    <row r="15" spans="1:17" x14ac:dyDescent="0.3">
      <c r="A15" s="10">
        <v>14</v>
      </c>
      <c r="B15" s="11" t="s">
        <v>44</v>
      </c>
      <c r="C15" s="13" t="s">
        <v>298</v>
      </c>
      <c r="D15" s="13" t="s">
        <v>269</v>
      </c>
      <c r="E15" s="13" t="s">
        <v>311</v>
      </c>
      <c r="F15" s="13" t="s">
        <v>239</v>
      </c>
      <c r="G15" s="13" t="s">
        <v>315</v>
      </c>
      <c r="H15" s="13" t="s">
        <v>238</v>
      </c>
      <c r="I15" s="13" t="s">
        <v>320</v>
      </c>
      <c r="J15" s="13" t="s">
        <v>181</v>
      </c>
      <c r="K15" s="13" t="s">
        <v>270</v>
      </c>
      <c r="L15" s="13" t="s">
        <v>161</v>
      </c>
      <c r="M15" s="13" t="s">
        <v>365</v>
      </c>
      <c r="N15" s="13" t="s">
        <v>210</v>
      </c>
      <c r="O15" s="13" t="s">
        <v>331</v>
      </c>
      <c r="P15" s="12"/>
      <c r="Q15" s="13" t="s">
        <v>285</v>
      </c>
    </row>
    <row r="16" spans="1:17" x14ac:dyDescent="0.3">
      <c r="A16" s="10">
        <v>15</v>
      </c>
      <c r="B16" s="11" t="s">
        <v>25</v>
      </c>
      <c r="C16" s="13" t="s">
        <v>122</v>
      </c>
      <c r="D16" s="13" t="s">
        <v>240</v>
      </c>
      <c r="E16" s="13" t="s">
        <v>271</v>
      </c>
      <c r="F16" s="13" t="s">
        <v>152</v>
      </c>
      <c r="G16" s="13" t="s">
        <v>297</v>
      </c>
      <c r="H16" s="13" t="s">
        <v>162</v>
      </c>
      <c r="I16" s="13" t="s">
        <v>121</v>
      </c>
      <c r="J16" s="13" t="s">
        <v>310</v>
      </c>
      <c r="K16" s="13" t="s">
        <v>251</v>
      </c>
      <c r="L16" s="13" t="s">
        <v>211</v>
      </c>
      <c r="M16" s="13" t="s">
        <v>172</v>
      </c>
      <c r="N16" s="13" t="s">
        <v>188</v>
      </c>
      <c r="O16" s="13" t="s">
        <v>321</v>
      </c>
      <c r="P16" s="13" t="s">
        <v>284</v>
      </c>
      <c r="Q16" s="12"/>
    </row>
    <row r="18" spans="2:2" x14ac:dyDescent="0.3">
      <c r="B18" s="39" t="s">
        <v>391</v>
      </c>
    </row>
  </sheetData>
  <mergeCells count="1">
    <mergeCell ref="A1:B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D5ACB-6464-4999-AAB0-375E1F89B42D}">
  <dimension ref="A1:P28"/>
  <sheetViews>
    <sheetView tabSelected="1" workbookViewId="0">
      <selection activeCell="H33" sqref="H33"/>
    </sheetView>
  </sheetViews>
  <sheetFormatPr defaultRowHeight="14.4" x14ac:dyDescent="0.3"/>
  <cols>
    <col min="1" max="1" width="7" style="29" customWidth="1"/>
    <col min="2" max="3" width="8.88671875" style="29"/>
    <col min="4" max="4" width="7.6640625" style="29" customWidth="1"/>
    <col min="5" max="5" width="12.33203125" style="29" customWidth="1"/>
    <col min="6" max="6" width="7.109375" style="29" customWidth="1"/>
    <col min="7" max="7" width="8.88671875" style="29"/>
    <col min="8" max="8" width="7.6640625" style="29" customWidth="1"/>
    <col min="9" max="12" width="8.88671875" style="29"/>
    <col min="13" max="13" width="18.5546875" style="29" customWidth="1"/>
    <col min="14" max="15" width="8.88671875" style="29"/>
    <col min="16" max="16" width="16.77734375" style="29" bestFit="1" customWidth="1"/>
    <col min="17" max="16384" width="8.88671875" style="29"/>
  </cols>
  <sheetData>
    <row r="1" spans="1:16" ht="27.75" customHeight="1" x14ac:dyDescent="0.3">
      <c r="A1" s="28" t="s">
        <v>344</v>
      </c>
      <c r="B1" s="28"/>
      <c r="C1" s="28"/>
      <c r="D1" s="28" t="s">
        <v>344</v>
      </c>
      <c r="E1" s="28"/>
      <c r="F1" s="28" t="s">
        <v>344</v>
      </c>
      <c r="G1" s="28"/>
      <c r="H1" s="28" t="s">
        <v>344</v>
      </c>
      <c r="I1" s="28"/>
      <c r="J1" s="28"/>
      <c r="K1" s="28"/>
      <c r="L1" s="54" t="s">
        <v>408</v>
      </c>
      <c r="M1" s="55"/>
      <c r="O1" s="54" t="s">
        <v>409</v>
      </c>
      <c r="P1" s="55"/>
    </row>
    <row r="2" spans="1:16" x14ac:dyDescent="0.3">
      <c r="A2" s="56">
        <v>1</v>
      </c>
      <c r="B2" s="29" t="s">
        <v>345</v>
      </c>
      <c r="C2" s="37" t="s">
        <v>24</v>
      </c>
      <c r="D2" s="30"/>
      <c r="F2" s="30"/>
      <c r="L2" s="31" t="s">
        <v>97</v>
      </c>
      <c r="M2" s="32" t="s">
        <v>98</v>
      </c>
      <c r="O2" s="31" t="s">
        <v>97</v>
      </c>
      <c r="P2" s="32" t="s">
        <v>98</v>
      </c>
    </row>
    <row r="3" spans="1:16" x14ac:dyDescent="0.3">
      <c r="A3" s="56"/>
      <c r="B3" s="29" t="s">
        <v>346</v>
      </c>
      <c r="C3" s="37" t="s">
        <v>371</v>
      </c>
      <c r="D3" s="30"/>
      <c r="F3" s="30"/>
      <c r="L3" s="33">
        <v>1</v>
      </c>
      <c r="M3" s="34" t="s">
        <v>24</v>
      </c>
      <c r="O3" s="33">
        <v>1</v>
      </c>
      <c r="P3" s="40" t="s">
        <v>392</v>
      </c>
    </row>
    <row r="4" spans="1:16" x14ac:dyDescent="0.3">
      <c r="A4" s="35"/>
      <c r="D4" s="30">
        <v>9</v>
      </c>
      <c r="E4" s="45" t="s">
        <v>406</v>
      </c>
      <c r="F4" s="30"/>
      <c r="L4" s="33">
        <v>2</v>
      </c>
      <c r="M4" s="34" t="s">
        <v>35</v>
      </c>
      <c r="O4" s="33">
        <v>2</v>
      </c>
      <c r="P4" s="34" t="s">
        <v>35</v>
      </c>
    </row>
    <row r="5" spans="1:16" x14ac:dyDescent="0.3">
      <c r="A5" s="56">
        <v>2</v>
      </c>
      <c r="B5" s="29" t="s">
        <v>347</v>
      </c>
      <c r="C5" s="29" t="s">
        <v>361</v>
      </c>
      <c r="D5" s="30"/>
      <c r="F5" s="30"/>
      <c r="L5" s="33">
        <v>3</v>
      </c>
      <c r="M5" s="34" t="s">
        <v>21</v>
      </c>
      <c r="O5" s="33">
        <v>3</v>
      </c>
      <c r="P5" s="34" t="s">
        <v>24</v>
      </c>
    </row>
    <row r="6" spans="1:16" x14ac:dyDescent="0.3">
      <c r="A6" s="56"/>
      <c r="B6" s="29" t="s">
        <v>348</v>
      </c>
      <c r="C6" s="29" t="s">
        <v>15</v>
      </c>
      <c r="D6" s="30"/>
      <c r="F6" s="30"/>
      <c r="L6" s="33">
        <v>4</v>
      </c>
      <c r="M6" s="40" t="s">
        <v>392</v>
      </c>
      <c r="O6" s="33">
        <v>4</v>
      </c>
      <c r="P6" s="34" t="s">
        <v>21</v>
      </c>
    </row>
    <row r="7" spans="1:16" x14ac:dyDescent="0.3">
      <c r="A7" s="35"/>
      <c r="D7" s="30"/>
      <c r="F7" s="30">
        <v>13</v>
      </c>
      <c r="G7" s="57" t="s">
        <v>412</v>
      </c>
      <c r="H7" s="30"/>
      <c r="L7" s="33">
        <v>5</v>
      </c>
      <c r="M7" s="40" t="s">
        <v>14</v>
      </c>
      <c r="O7" s="33">
        <v>5</v>
      </c>
      <c r="P7" s="40" t="s">
        <v>26</v>
      </c>
    </row>
    <row r="8" spans="1:16" x14ac:dyDescent="0.3">
      <c r="A8" s="56">
        <v>3</v>
      </c>
      <c r="B8" s="29" t="s">
        <v>349</v>
      </c>
      <c r="C8" s="41" t="s">
        <v>26</v>
      </c>
      <c r="D8" s="30"/>
      <c r="F8" s="30"/>
      <c r="H8" s="30"/>
      <c r="L8" s="33">
        <v>6</v>
      </c>
      <c r="M8" s="40" t="s">
        <v>26</v>
      </c>
      <c r="O8" s="33">
        <v>6</v>
      </c>
      <c r="P8" s="40" t="s">
        <v>27</v>
      </c>
    </row>
    <row r="9" spans="1:16" x14ac:dyDescent="0.3">
      <c r="A9" s="56"/>
      <c r="B9" s="29" t="s">
        <v>350</v>
      </c>
      <c r="C9" s="37" t="s">
        <v>11</v>
      </c>
      <c r="D9" s="30"/>
      <c r="F9" s="30"/>
      <c r="H9" s="30"/>
      <c r="L9" s="33">
        <v>7</v>
      </c>
      <c r="M9" s="40" t="s">
        <v>27</v>
      </c>
      <c r="O9" s="33">
        <v>7</v>
      </c>
      <c r="P9" s="34" t="s">
        <v>34</v>
      </c>
    </row>
    <row r="10" spans="1:16" x14ac:dyDescent="0.3">
      <c r="A10" s="35"/>
      <c r="D10" s="30">
        <v>10</v>
      </c>
      <c r="E10" s="47" t="s">
        <v>410</v>
      </c>
      <c r="F10" s="30"/>
      <c r="H10" s="30"/>
      <c r="L10" s="33">
        <v>8</v>
      </c>
      <c r="M10" s="34" t="s">
        <v>34</v>
      </c>
      <c r="O10" s="33">
        <v>8</v>
      </c>
      <c r="P10" s="34" t="s">
        <v>20</v>
      </c>
    </row>
    <row r="11" spans="1:16" x14ac:dyDescent="0.3">
      <c r="A11" s="56">
        <v>4</v>
      </c>
      <c r="B11" s="29" t="s">
        <v>351</v>
      </c>
      <c r="C11" s="41" t="s">
        <v>393</v>
      </c>
      <c r="D11" s="30"/>
      <c r="F11" s="30"/>
      <c r="H11" s="30">
        <v>15</v>
      </c>
      <c r="I11" s="57" t="s">
        <v>414</v>
      </c>
      <c r="L11" s="33">
        <v>9</v>
      </c>
      <c r="M11" s="34" t="s">
        <v>15</v>
      </c>
      <c r="O11" s="33">
        <v>9</v>
      </c>
      <c r="P11" s="46" t="s">
        <v>14</v>
      </c>
    </row>
    <row r="12" spans="1:16" x14ac:dyDescent="0.3">
      <c r="A12" s="56"/>
      <c r="B12" s="29" t="s">
        <v>352</v>
      </c>
      <c r="C12" s="37" t="s">
        <v>30</v>
      </c>
      <c r="D12" s="30"/>
      <c r="F12" s="30"/>
      <c r="H12" s="30"/>
      <c r="L12" s="33">
        <v>10</v>
      </c>
      <c r="M12" s="34" t="s">
        <v>12</v>
      </c>
      <c r="O12" s="33">
        <v>10</v>
      </c>
      <c r="P12" s="34" t="s">
        <v>15</v>
      </c>
    </row>
    <row r="13" spans="1:16" x14ac:dyDescent="0.3">
      <c r="A13" s="35"/>
      <c r="D13" s="30"/>
      <c r="F13" s="30"/>
      <c r="H13" s="30">
        <v>16</v>
      </c>
      <c r="I13" s="57" t="s">
        <v>415</v>
      </c>
      <c r="L13" s="33">
        <v>11</v>
      </c>
      <c r="M13" s="34" t="s">
        <v>11</v>
      </c>
      <c r="O13" s="33">
        <v>11</v>
      </c>
      <c r="P13" s="34" t="s">
        <v>12</v>
      </c>
    </row>
    <row r="14" spans="1:16" x14ac:dyDescent="0.3">
      <c r="A14" s="56">
        <v>5</v>
      </c>
      <c r="B14" s="29" t="s">
        <v>353</v>
      </c>
      <c r="C14" s="37" t="s">
        <v>369</v>
      </c>
      <c r="D14" s="30"/>
      <c r="F14" s="30"/>
      <c r="H14" s="30"/>
      <c r="L14" s="33">
        <v>12</v>
      </c>
      <c r="M14" s="34" t="s">
        <v>20</v>
      </c>
      <c r="O14" s="33">
        <v>12</v>
      </c>
      <c r="P14" s="34" t="s">
        <v>11</v>
      </c>
    </row>
    <row r="15" spans="1:16" x14ac:dyDescent="0.3">
      <c r="A15" s="56"/>
      <c r="B15" s="29" t="s">
        <v>354</v>
      </c>
      <c r="C15" s="37" t="s">
        <v>372</v>
      </c>
      <c r="D15" s="30"/>
      <c r="F15" s="30"/>
      <c r="H15" s="30"/>
      <c r="L15" s="33">
        <v>13</v>
      </c>
      <c r="M15" s="34" t="s">
        <v>30</v>
      </c>
      <c r="O15" s="33">
        <v>13</v>
      </c>
      <c r="P15" s="34" t="s">
        <v>30</v>
      </c>
    </row>
    <row r="16" spans="1:16" x14ac:dyDescent="0.3">
      <c r="A16" s="35"/>
      <c r="D16" s="30">
        <v>11</v>
      </c>
      <c r="E16" s="47" t="s">
        <v>411</v>
      </c>
      <c r="F16" s="30"/>
      <c r="H16" s="30"/>
      <c r="L16" s="33">
        <v>14</v>
      </c>
      <c r="M16" s="34" t="s">
        <v>44</v>
      </c>
      <c r="O16" s="33">
        <v>14</v>
      </c>
      <c r="P16" s="34" t="s">
        <v>44</v>
      </c>
    </row>
    <row r="17" spans="1:16" x14ac:dyDescent="0.3">
      <c r="A17" s="56">
        <v>6</v>
      </c>
      <c r="B17" s="29" t="s">
        <v>355</v>
      </c>
      <c r="C17" s="41" t="s">
        <v>14</v>
      </c>
      <c r="D17" s="30"/>
      <c r="F17" s="30"/>
      <c r="H17" s="30"/>
      <c r="L17" s="33">
        <v>15</v>
      </c>
      <c r="M17" s="34" t="s">
        <v>25</v>
      </c>
      <c r="O17" s="33">
        <v>15</v>
      </c>
      <c r="P17" s="34" t="s">
        <v>25</v>
      </c>
    </row>
    <row r="18" spans="1:16" x14ac:dyDescent="0.3">
      <c r="A18" s="56"/>
      <c r="B18" s="29" t="s">
        <v>356</v>
      </c>
      <c r="C18" s="29" t="s">
        <v>20</v>
      </c>
      <c r="D18" s="30"/>
      <c r="F18" s="30"/>
      <c r="L18" s="33"/>
      <c r="M18" s="34"/>
      <c r="O18" s="33"/>
      <c r="P18" s="34"/>
    </row>
    <row r="19" spans="1:16" x14ac:dyDescent="0.3">
      <c r="A19" s="35"/>
      <c r="D19" s="30"/>
      <c r="F19" s="30">
        <v>14</v>
      </c>
      <c r="G19" s="57" t="s">
        <v>413</v>
      </c>
    </row>
    <row r="20" spans="1:16" x14ac:dyDescent="0.3">
      <c r="A20" s="56">
        <v>7</v>
      </c>
      <c r="B20" s="29" t="s">
        <v>357</v>
      </c>
      <c r="C20" s="41" t="s">
        <v>27</v>
      </c>
      <c r="D20" s="30"/>
      <c r="F20" s="30"/>
    </row>
    <row r="21" spans="1:16" x14ac:dyDescent="0.3">
      <c r="A21" s="56"/>
      <c r="B21" s="29" t="s">
        <v>358</v>
      </c>
      <c r="C21" s="37" t="s">
        <v>12</v>
      </c>
      <c r="D21" s="30"/>
      <c r="F21" s="30"/>
    </row>
    <row r="22" spans="1:16" x14ac:dyDescent="0.3">
      <c r="A22" s="35"/>
      <c r="D22" s="30">
        <v>12</v>
      </c>
      <c r="E22" s="45" t="s">
        <v>407</v>
      </c>
      <c r="F22" s="30"/>
    </row>
    <row r="23" spans="1:16" x14ac:dyDescent="0.3">
      <c r="A23" s="56">
        <v>8</v>
      </c>
      <c r="B23" s="29" t="s">
        <v>359</v>
      </c>
      <c r="C23" s="37" t="s">
        <v>35</v>
      </c>
      <c r="D23" s="30"/>
      <c r="F23" s="30"/>
    </row>
    <row r="24" spans="1:16" x14ac:dyDescent="0.3">
      <c r="A24" s="56"/>
      <c r="B24" s="29" t="s">
        <v>360</v>
      </c>
      <c r="C24" s="29" t="s">
        <v>25</v>
      </c>
      <c r="D24" s="30"/>
      <c r="F24" s="30"/>
    </row>
    <row r="25" spans="1:16" x14ac:dyDescent="0.3">
      <c r="D25" s="30"/>
      <c r="F25" s="30"/>
    </row>
    <row r="26" spans="1:16" x14ac:dyDescent="0.3">
      <c r="D26" s="30"/>
    </row>
    <row r="27" spans="1:16" x14ac:dyDescent="0.3">
      <c r="D27" s="30"/>
    </row>
    <row r="28" spans="1:16" x14ac:dyDescent="0.3">
      <c r="D28" s="30"/>
    </row>
  </sheetData>
  <mergeCells count="10">
    <mergeCell ref="L1:M1"/>
    <mergeCell ref="O1:P1"/>
    <mergeCell ref="A20:A21"/>
    <mergeCell ref="A23:A24"/>
    <mergeCell ref="A2:A3"/>
    <mergeCell ref="A5:A6"/>
    <mergeCell ref="A8:A9"/>
    <mergeCell ref="A11:A12"/>
    <mergeCell ref="A14:A15"/>
    <mergeCell ref="A17:A18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72833-C50F-4249-8CEE-31F9B5E04E23}">
  <dimension ref="A2:B28"/>
  <sheetViews>
    <sheetView workbookViewId="0">
      <selection activeCell="B31" sqref="B31"/>
    </sheetView>
  </sheetViews>
  <sheetFormatPr defaultRowHeight="14.4" x14ac:dyDescent="0.3"/>
  <cols>
    <col min="1" max="16384" width="8.88671875" style="16"/>
  </cols>
  <sheetData>
    <row r="2" spans="2:2" ht="21" x14ac:dyDescent="0.3">
      <c r="B2" s="15" t="s">
        <v>137</v>
      </c>
    </row>
    <row r="3" spans="2:2" x14ac:dyDescent="0.3">
      <c r="B3" s="17" t="s">
        <v>128</v>
      </c>
    </row>
    <row r="4" spans="2:2" x14ac:dyDescent="0.3">
      <c r="B4" s="17" t="s">
        <v>129</v>
      </c>
    </row>
    <row r="5" spans="2:2" x14ac:dyDescent="0.3">
      <c r="B5" s="17" t="s">
        <v>130</v>
      </c>
    </row>
    <row r="6" spans="2:2" x14ac:dyDescent="0.3">
      <c r="B6" s="17" t="s">
        <v>131</v>
      </c>
    </row>
    <row r="7" spans="2:2" x14ac:dyDescent="0.3">
      <c r="B7" s="17" t="s">
        <v>132</v>
      </c>
    </row>
    <row r="8" spans="2:2" x14ac:dyDescent="0.3">
      <c r="B8" s="17" t="s">
        <v>133</v>
      </c>
    </row>
    <row r="9" spans="2:2" x14ac:dyDescent="0.3">
      <c r="B9" s="17" t="s">
        <v>140</v>
      </c>
    </row>
    <row r="10" spans="2:2" x14ac:dyDescent="0.3">
      <c r="B10" s="19" t="s">
        <v>146</v>
      </c>
    </row>
    <row r="11" spans="2:2" x14ac:dyDescent="0.3">
      <c r="B11" s="17" t="s">
        <v>139</v>
      </c>
    </row>
    <row r="12" spans="2:2" x14ac:dyDescent="0.3">
      <c r="B12" s="17" t="s">
        <v>141</v>
      </c>
    </row>
    <row r="13" spans="2:2" x14ac:dyDescent="0.3">
      <c r="B13" s="17" t="s">
        <v>134</v>
      </c>
    </row>
    <row r="14" spans="2:2" x14ac:dyDescent="0.3">
      <c r="B14" s="17" t="s">
        <v>135</v>
      </c>
    </row>
    <row r="15" spans="2:2" x14ac:dyDescent="0.3">
      <c r="B15" s="18" t="s">
        <v>136</v>
      </c>
    </row>
    <row r="16" spans="2:2" x14ac:dyDescent="0.3">
      <c r="B16" s="17"/>
    </row>
    <row r="18" spans="1:2" ht="21" x14ac:dyDescent="0.3">
      <c r="A18" s="42" t="s">
        <v>404</v>
      </c>
      <c r="B18" s="43"/>
    </row>
    <row r="19" spans="1:2" x14ac:dyDescent="0.3">
      <c r="A19"/>
      <c r="B19" t="s">
        <v>394</v>
      </c>
    </row>
    <row r="20" spans="1:2" x14ac:dyDescent="0.3">
      <c r="A20"/>
      <c r="B20" t="s">
        <v>395</v>
      </c>
    </row>
    <row r="21" spans="1:2" x14ac:dyDescent="0.3">
      <c r="A21"/>
      <c r="B21" t="s">
        <v>396</v>
      </c>
    </row>
    <row r="22" spans="1:2" x14ac:dyDescent="0.3">
      <c r="A22"/>
      <c r="B22" t="s">
        <v>397</v>
      </c>
    </row>
    <row r="23" spans="1:2" x14ac:dyDescent="0.3">
      <c r="A23"/>
      <c r="B23" s="44" t="s">
        <v>398</v>
      </c>
    </row>
    <row r="24" spans="1:2" x14ac:dyDescent="0.3">
      <c r="A24"/>
      <c r="B24" t="s">
        <v>399</v>
      </c>
    </row>
    <row r="25" spans="1:2" x14ac:dyDescent="0.3">
      <c r="A25"/>
      <c r="B25" t="s">
        <v>400</v>
      </c>
    </row>
    <row r="26" spans="1:2" x14ac:dyDescent="0.3">
      <c r="A26"/>
      <c r="B26" t="s">
        <v>401</v>
      </c>
    </row>
    <row r="27" spans="1:2" x14ac:dyDescent="0.3">
      <c r="A27"/>
      <c r="B27" t="s">
        <v>402</v>
      </c>
    </row>
    <row r="28" spans="1:2" x14ac:dyDescent="0.3">
      <c r="A28"/>
      <c r="B28" t="s">
        <v>403</v>
      </c>
    </row>
  </sheetData>
  <hyperlinks>
    <hyperlink ref="B15" r:id="rId1" display="https://www.bowlingbechyne.cz/bowling/turnaje/" xr:uid="{5D8A6E88-640F-4E73-B366-3E1067845901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Rozpis</vt:lpstr>
      <vt:lpstr>Tabulka</vt:lpstr>
      <vt:lpstr>Křížová_tabulka</vt:lpstr>
      <vt:lpstr>PlayOff</vt:lpstr>
      <vt:lpstr>Pravidla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Kadlec Jiří</cp:lastModifiedBy>
  <dcterms:created xsi:type="dcterms:W3CDTF">2025-09-16T17:58:41Z</dcterms:created>
  <dcterms:modified xsi:type="dcterms:W3CDTF">2026-05-06T10:00:29Z</dcterms:modified>
</cp:coreProperties>
</file>